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1Stuart\Badminton\TWBL\League Admin 2024-25\"/>
    </mc:Choice>
  </mc:AlternateContent>
  <xr:revisionPtr revIDLastSave="0" documentId="8_{0C813AAA-BAF6-4D32-B39F-A346575C3F73}" xr6:coauthVersionLast="47" xr6:coauthVersionMax="47" xr10:uidLastSave="{00000000-0000-0000-0000-000000000000}"/>
  <bookViews>
    <workbookView xWindow="45" yWindow="60" windowWidth="26070" windowHeight="15300" activeTab="1" xr2:uid="{00000000-000D-0000-FFFF-FFFF00000000}"/>
  </bookViews>
  <sheets>
    <sheet name="Results" sheetId="3" r:id="rId1"/>
    <sheet name="Tables" sheetId="2" r:id="rId2"/>
    <sheet name="Combi 4s Performance" sheetId="4" r:id="rId3"/>
    <sheet name="Open 4s Performance" sheetId="5" r:id="rId4"/>
    <sheet name="Masters 4s Performance" sheetId="6" r:id="rId5"/>
    <sheet name="Ladies 4s Performance" sheetId="7" r:id="rId6"/>
  </sheets>
  <definedNames>
    <definedName name="_xlnm.Print_Area" localSheetId="1">Tables!$B$1:$T$29</definedName>
    <definedName name="_xlnm.Print_Titles" localSheetId="2">'Combi 4s Performance'!$1:$4</definedName>
    <definedName name="_xlnm.Print_Titles" localSheetId="5">'Ladies 4s Performance'!$1:$4</definedName>
    <definedName name="_xlnm.Print_Titles" localSheetId="4">'Masters 4s Performance'!$1:$4</definedName>
    <definedName name="_xlnm.Print_Titles" localSheetId="3">'Open 4s Performance'!$1:$4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6" i="5" l="1"/>
  <c r="J276" i="5"/>
  <c r="K275" i="5"/>
  <c r="J275" i="5"/>
  <c r="K274" i="5"/>
  <c r="J274" i="5"/>
  <c r="K273" i="5"/>
  <c r="J273" i="5"/>
  <c r="K272" i="5"/>
  <c r="J272" i="5"/>
  <c r="K271" i="5"/>
  <c r="J271" i="5"/>
  <c r="K270" i="5"/>
  <c r="J270" i="5"/>
  <c r="K269" i="5"/>
  <c r="J269" i="5"/>
  <c r="J220" i="4"/>
  <c r="J219" i="4"/>
  <c r="J218" i="4"/>
  <c r="K220" i="4"/>
  <c r="K219" i="4"/>
  <c r="K218" i="4"/>
  <c r="K217" i="4"/>
  <c r="J217" i="4"/>
  <c r="K216" i="4"/>
  <c r="K215" i="4"/>
  <c r="K214" i="4"/>
  <c r="K213" i="4"/>
  <c r="J216" i="4"/>
  <c r="J215" i="4"/>
  <c r="J214" i="4"/>
  <c r="J213" i="4"/>
  <c r="S6" i="2" l="1"/>
  <c r="S7" i="2"/>
  <c r="K268" i="5"/>
  <c r="J268" i="5"/>
  <c r="K267" i="5"/>
  <c r="J267" i="5"/>
  <c r="K266" i="5"/>
  <c r="J266" i="5"/>
  <c r="K265" i="5"/>
  <c r="J265" i="5"/>
  <c r="K264" i="5"/>
  <c r="J264" i="5"/>
  <c r="K263" i="5"/>
  <c r="J263" i="5"/>
  <c r="K262" i="5"/>
  <c r="J262" i="5"/>
  <c r="K261" i="5"/>
  <c r="J261" i="5"/>
  <c r="J14" i="2"/>
  <c r="J13" i="2"/>
  <c r="K212" i="4"/>
  <c r="J212" i="4"/>
  <c r="K211" i="4"/>
  <c r="J211" i="4"/>
  <c r="K210" i="4"/>
  <c r="J210" i="4"/>
  <c r="K209" i="4"/>
  <c r="J209" i="4"/>
  <c r="K208" i="4"/>
  <c r="J208" i="4"/>
  <c r="K207" i="4"/>
  <c r="J207" i="4"/>
  <c r="K206" i="4"/>
  <c r="J206" i="4"/>
  <c r="K205" i="4"/>
  <c r="J205" i="4"/>
  <c r="J16" i="2"/>
  <c r="J15" i="2"/>
  <c r="K260" i="5"/>
  <c r="J260" i="5"/>
  <c r="K259" i="5"/>
  <c r="J259" i="5"/>
  <c r="K258" i="5"/>
  <c r="J258" i="5"/>
  <c r="K257" i="5"/>
  <c r="J257" i="5"/>
  <c r="K256" i="5"/>
  <c r="J256" i="5"/>
  <c r="K255" i="5"/>
  <c r="J255" i="5"/>
  <c r="K254" i="5"/>
  <c r="J254" i="5"/>
  <c r="K253" i="5"/>
  <c r="J253" i="5"/>
  <c r="S16" i="2"/>
  <c r="S15" i="2"/>
  <c r="J17" i="2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249" i="5"/>
  <c r="K252" i="5"/>
  <c r="J252" i="5"/>
  <c r="K251" i="5"/>
  <c r="J251" i="5"/>
  <c r="K250" i="5"/>
  <c r="J250" i="5"/>
  <c r="J249" i="5"/>
  <c r="K248" i="5"/>
  <c r="J248" i="5"/>
  <c r="K247" i="5"/>
  <c r="J247" i="5"/>
  <c r="K246" i="5"/>
  <c r="J246" i="5"/>
  <c r="K245" i="5"/>
  <c r="J245" i="5"/>
  <c r="J12" i="2"/>
  <c r="K101" i="7"/>
  <c r="J101" i="7"/>
  <c r="K100" i="7"/>
  <c r="J100" i="7"/>
  <c r="K99" i="7"/>
  <c r="J99" i="7"/>
  <c r="K98" i="7"/>
  <c r="J98" i="7"/>
  <c r="K97" i="7"/>
  <c r="J97" i="7"/>
  <c r="K96" i="7"/>
  <c r="J96" i="7"/>
  <c r="K95" i="7"/>
  <c r="J95" i="7"/>
  <c r="K94" i="7"/>
  <c r="J94" i="7"/>
  <c r="J6" i="2"/>
  <c r="J7" i="2"/>
  <c r="J8" i="2"/>
  <c r="K204" i="4"/>
  <c r="J204" i="4"/>
  <c r="K203" i="4"/>
  <c r="J203" i="4"/>
  <c r="K202" i="4"/>
  <c r="J202" i="4"/>
  <c r="K201" i="4"/>
  <c r="J201" i="4"/>
  <c r="K200" i="4"/>
  <c r="J200" i="4"/>
  <c r="K199" i="4"/>
  <c r="J199" i="4"/>
  <c r="K198" i="4"/>
  <c r="J198" i="4"/>
  <c r="K197" i="4"/>
  <c r="J197" i="4"/>
  <c r="K237" i="5"/>
  <c r="K244" i="5"/>
  <c r="J244" i="5"/>
  <c r="K243" i="5"/>
  <c r="J243" i="5"/>
  <c r="K242" i="5"/>
  <c r="J242" i="5"/>
  <c r="K241" i="5"/>
  <c r="J241" i="5"/>
  <c r="K240" i="5"/>
  <c r="J240" i="5"/>
  <c r="K239" i="5"/>
  <c r="J239" i="5"/>
  <c r="K238" i="5"/>
  <c r="J238" i="5"/>
  <c r="J237" i="5"/>
  <c r="K236" i="5"/>
  <c r="J236" i="5"/>
  <c r="K235" i="5"/>
  <c r="J235" i="5"/>
  <c r="K234" i="5"/>
  <c r="J234" i="5"/>
  <c r="K233" i="5"/>
  <c r="J233" i="5"/>
  <c r="K232" i="5"/>
  <c r="J232" i="5"/>
  <c r="K231" i="5"/>
  <c r="J231" i="5"/>
  <c r="K230" i="5"/>
  <c r="J230" i="5"/>
  <c r="K229" i="5"/>
  <c r="J229" i="5"/>
  <c r="G278" i="5"/>
  <c r="H278" i="5"/>
  <c r="I278" i="5"/>
  <c r="F278" i="5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196" i="4"/>
  <c r="J196" i="4"/>
  <c r="K195" i="4"/>
  <c r="J195" i="4"/>
  <c r="K194" i="4"/>
  <c r="J194" i="4"/>
  <c r="K193" i="4"/>
  <c r="J193" i="4"/>
  <c r="K192" i="4"/>
  <c r="J192" i="4"/>
  <c r="K191" i="4"/>
  <c r="J191" i="4"/>
  <c r="K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228" i="5"/>
  <c r="J228" i="5"/>
  <c r="K227" i="5"/>
  <c r="J227" i="5"/>
  <c r="K226" i="5"/>
  <c r="J226" i="5"/>
  <c r="K225" i="5"/>
  <c r="J225" i="5"/>
  <c r="K224" i="5"/>
  <c r="J224" i="5"/>
  <c r="K223" i="5"/>
  <c r="J223" i="5"/>
  <c r="K222" i="5"/>
  <c r="J222" i="5"/>
  <c r="K221" i="5"/>
  <c r="J221" i="5"/>
  <c r="K220" i="5"/>
  <c r="J220" i="5"/>
  <c r="K219" i="5"/>
  <c r="J219" i="5"/>
  <c r="K218" i="5"/>
  <c r="J218" i="5"/>
  <c r="K217" i="5"/>
  <c r="J217" i="5"/>
  <c r="K216" i="5"/>
  <c r="J216" i="5"/>
  <c r="K215" i="5"/>
  <c r="J215" i="5"/>
  <c r="K214" i="5"/>
  <c r="J214" i="5"/>
  <c r="K213" i="5"/>
  <c r="J213" i="5"/>
  <c r="K212" i="5"/>
  <c r="J212" i="5"/>
  <c r="K211" i="5"/>
  <c r="J211" i="5"/>
  <c r="K210" i="5"/>
  <c r="J210" i="5"/>
  <c r="K209" i="5"/>
  <c r="J209" i="5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K190" i="5"/>
  <c r="J190" i="5"/>
  <c r="K189" i="5"/>
  <c r="J189" i="5"/>
  <c r="K188" i="5"/>
  <c r="J188" i="5"/>
  <c r="K187" i="5"/>
  <c r="J187" i="5"/>
  <c r="K186" i="5"/>
  <c r="J186" i="5"/>
  <c r="K185" i="5"/>
  <c r="J185" i="5"/>
  <c r="K184" i="5"/>
  <c r="J184" i="5"/>
  <c r="K183" i="5"/>
  <c r="J183" i="5"/>
  <c r="K182" i="5"/>
  <c r="J182" i="5"/>
  <c r="K181" i="5"/>
  <c r="J181" i="5"/>
  <c r="K180" i="5"/>
  <c r="J180" i="5"/>
  <c r="K179" i="5"/>
  <c r="J179" i="5"/>
  <c r="K178" i="5"/>
  <c r="J178" i="5"/>
  <c r="K177" i="5"/>
  <c r="J177" i="5"/>
  <c r="K176" i="5"/>
  <c r="J176" i="5"/>
  <c r="K175" i="5"/>
  <c r="J175" i="5"/>
  <c r="K174" i="5"/>
  <c r="J174" i="5"/>
  <c r="K173" i="5"/>
  <c r="J173" i="5"/>
  <c r="K172" i="5"/>
  <c r="J172" i="5"/>
  <c r="K171" i="5"/>
  <c r="J171" i="5"/>
  <c r="K170" i="5"/>
  <c r="J170" i="5"/>
  <c r="K169" i="5"/>
  <c r="J169" i="5"/>
  <c r="K168" i="5"/>
  <c r="J168" i="5"/>
  <c r="K167" i="5"/>
  <c r="J167" i="5"/>
  <c r="K166" i="5"/>
  <c r="J166" i="5"/>
  <c r="K165" i="5"/>
  <c r="J165" i="5"/>
  <c r="K164" i="5"/>
  <c r="J164" i="5"/>
  <c r="K163" i="5"/>
  <c r="J163" i="5"/>
  <c r="K162" i="5"/>
  <c r="J162" i="5"/>
  <c r="K161" i="5"/>
  <c r="J161" i="5"/>
  <c r="K160" i="5"/>
  <c r="J160" i="5"/>
  <c r="K159" i="5"/>
  <c r="J159" i="5"/>
  <c r="K158" i="5"/>
  <c r="J158" i="5"/>
  <c r="K157" i="5"/>
  <c r="J157" i="5"/>
  <c r="K156" i="5"/>
  <c r="J156" i="5"/>
  <c r="K155" i="5"/>
  <c r="J155" i="5"/>
  <c r="K154" i="5"/>
  <c r="J154" i="5"/>
  <c r="K153" i="5"/>
  <c r="J153" i="5"/>
  <c r="K152" i="5"/>
  <c r="J152" i="5"/>
  <c r="K151" i="5"/>
  <c r="J151" i="5"/>
  <c r="K150" i="5"/>
  <c r="J150" i="5"/>
  <c r="K149" i="5"/>
  <c r="J149" i="5"/>
  <c r="K148" i="5"/>
  <c r="J148" i="5"/>
  <c r="K147" i="5"/>
  <c r="J147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K140" i="5"/>
  <c r="J140" i="5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132" i="5"/>
  <c r="J132" i="5"/>
  <c r="K131" i="5"/>
  <c r="J131" i="5"/>
  <c r="K130" i="5"/>
  <c r="J130" i="5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K80" i="5"/>
  <c r="J80" i="5"/>
  <c r="K79" i="5"/>
  <c r="J79" i="5"/>
  <c r="K78" i="5"/>
  <c r="J78" i="5"/>
  <c r="K77" i="5"/>
  <c r="J77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180" i="4"/>
  <c r="J180" i="4"/>
  <c r="K179" i="4"/>
  <c r="J179" i="4"/>
  <c r="K178" i="4"/>
  <c r="J178" i="4"/>
  <c r="K177" i="4"/>
  <c r="J177" i="4"/>
  <c r="K176" i="4"/>
  <c r="J176" i="4"/>
  <c r="K175" i="4"/>
  <c r="J175" i="4"/>
  <c r="K174" i="4"/>
  <c r="J174" i="4"/>
  <c r="K173" i="4"/>
  <c r="J173" i="4"/>
  <c r="S14" i="2"/>
  <c r="K93" i="7"/>
  <c r="J93" i="7"/>
  <c r="K92" i="7"/>
  <c r="J92" i="7"/>
  <c r="K91" i="7"/>
  <c r="J91" i="7"/>
  <c r="K90" i="7"/>
  <c r="J90" i="7"/>
  <c r="K89" i="7"/>
  <c r="J89" i="7"/>
  <c r="K88" i="7"/>
  <c r="J88" i="7"/>
  <c r="K87" i="7"/>
  <c r="J87" i="7"/>
  <c r="K86" i="7"/>
  <c r="J86" i="7"/>
  <c r="K172" i="4"/>
  <c r="J172" i="4"/>
  <c r="K171" i="4"/>
  <c r="J171" i="4"/>
  <c r="K170" i="4"/>
  <c r="J170" i="4"/>
  <c r="K169" i="4"/>
  <c r="J169" i="4"/>
  <c r="K168" i="4"/>
  <c r="J168" i="4"/>
  <c r="K167" i="4"/>
  <c r="J167" i="4"/>
  <c r="K166" i="4"/>
  <c r="J166" i="4"/>
  <c r="K165" i="4"/>
  <c r="J165" i="4"/>
  <c r="K85" i="7"/>
  <c r="J85" i="7"/>
  <c r="K84" i="7"/>
  <c r="J84" i="7"/>
  <c r="K83" i="7"/>
  <c r="J83" i="7"/>
  <c r="K82" i="7"/>
  <c r="J82" i="7"/>
  <c r="K81" i="7"/>
  <c r="J81" i="7"/>
  <c r="K80" i="7"/>
  <c r="J80" i="7"/>
  <c r="K79" i="7"/>
  <c r="J79" i="7"/>
  <c r="K78" i="7"/>
  <c r="J78" i="7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278" i="5" l="1"/>
  <c r="J278" i="5"/>
  <c r="I279" i="5"/>
  <c r="G279" i="5"/>
  <c r="J164" i="4"/>
  <c r="K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K156" i="4"/>
  <c r="J156" i="4"/>
  <c r="K155" i="4"/>
  <c r="J155" i="4"/>
  <c r="K154" i="4"/>
  <c r="J154" i="4"/>
  <c r="K153" i="4"/>
  <c r="J153" i="4"/>
  <c r="K152" i="4"/>
  <c r="J152" i="4"/>
  <c r="K151" i="4"/>
  <c r="J151" i="4"/>
  <c r="K150" i="4"/>
  <c r="J150" i="4"/>
  <c r="K149" i="4"/>
  <c r="J149" i="4"/>
  <c r="K148" i="4"/>
  <c r="J148" i="4"/>
  <c r="K147" i="4"/>
  <c r="J147" i="4"/>
  <c r="K146" i="4"/>
  <c r="J146" i="4"/>
  <c r="K145" i="4"/>
  <c r="J145" i="4"/>
  <c r="K144" i="4"/>
  <c r="J144" i="4"/>
  <c r="K143" i="4"/>
  <c r="J143" i="4"/>
  <c r="K142" i="4"/>
  <c r="J142" i="4"/>
  <c r="K141" i="4"/>
  <c r="J141" i="4"/>
  <c r="S13" i="2"/>
  <c r="S12" i="2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70" i="7"/>
  <c r="K77" i="7"/>
  <c r="J77" i="7"/>
  <c r="K76" i="7"/>
  <c r="J76" i="7"/>
  <c r="K75" i="7"/>
  <c r="J75" i="7"/>
  <c r="K74" i="7"/>
  <c r="J74" i="7"/>
  <c r="K73" i="7"/>
  <c r="J73" i="7"/>
  <c r="K72" i="7"/>
  <c r="J72" i="7"/>
  <c r="K71" i="7"/>
  <c r="J71" i="7"/>
  <c r="J70" i="7"/>
  <c r="J69" i="7"/>
  <c r="K65" i="7"/>
  <c r="J63" i="7"/>
  <c r="K69" i="7"/>
  <c r="K68" i="7"/>
  <c r="J68" i="7"/>
  <c r="K67" i="7"/>
  <c r="J67" i="7"/>
  <c r="K66" i="7"/>
  <c r="J66" i="7"/>
  <c r="J65" i="7"/>
  <c r="K64" i="7"/>
  <c r="J64" i="7"/>
  <c r="K63" i="7"/>
  <c r="K62" i="7"/>
  <c r="J62" i="7"/>
  <c r="K140" i="4"/>
  <c r="J140" i="4"/>
  <c r="K139" i="4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S17" i="2"/>
  <c r="S8" i="2"/>
  <c r="J18" i="2"/>
  <c r="K61" i="7"/>
  <c r="J61" i="7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J5" i="2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124" i="4"/>
  <c r="J124" i="4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S5" i="2"/>
  <c r="K36" i="7"/>
  <c r="J36" i="7"/>
  <c r="K37" i="7"/>
  <c r="J37" i="7"/>
  <c r="K35" i="7"/>
  <c r="J35" i="7"/>
  <c r="K34" i="7"/>
  <c r="J34" i="7"/>
  <c r="K33" i="7"/>
  <c r="J33" i="7"/>
  <c r="K32" i="7"/>
  <c r="J32" i="7"/>
  <c r="K31" i="7"/>
  <c r="J31" i="7"/>
  <c r="K30" i="7"/>
  <c r="J30" i="7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9" i="7"/>
  <c r="J29" i="7"/>
  <c r="H103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J6" i="7"/>
  <c r="K13" i="6"/>
  <c r="J13" i="6"/>
  <c r="K12" i="6"/>
  <c r="J12" i="6"/>
  <c r="K11" i="6"/>
  <c r="J11" i="6"/>
  <c r="K10" i="6"/>
  <c r="J10" i="6"/>
  <c r="K9" i="6"/>
  <c r="J9" i="6"/>
  <c r="K8" i="6"/>
  <c r="J8" i="6"/>
  <c r="J7" i="6"/>
  <c r="K7" i="6"/>
  <c r="K6" i="6"/>
  <c r="J6" i="6"/>
  <c r="K55" i="4"/>
  <c r="K60" i="4"/>
  <c r="J60" i="4"/>
  <c r="K59" i="4"/>
  <c r="J59" i="4"/>
  <c r="K58" i="4"/>
  <c r="J58" i="4"/>
  <c r="K57" i="4"/>
  <c r="J57" i="4"/>
  <c r="K56" i="4"/>
  <c r="J56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I103" i="7"/>
  <c r="G103" i="7"/>
  <c r="F103" i="7"/>
  <c r="I63" i="6"/>
  <c r="H63" i="6"/>
  <c r="G63" i="6"/>
  <c r="F63" i="6"/>
  <c r="K41" i="4"/>
  <c r="J37" i="4"/>
  <c r="K44" i="4"/>
  <c r="J44" i="4"/>
  <c r="K43" i="4"/>
  <c r="J43" i="4"/>
  <c r="K42" i="4"/>
  <c r="J42" i="4"/>
  <c r="J41" i="4"/>
  <c r="K40" i="4"/>
  <c r="J40" i="4"/>
  <c r="K39" i="4"/>
  <c r="J39" i="4"/>
  <c r="K38" i="4"/>
  <c r="J38" i="4"/>
  <c r="K37" i="4"/>
  <c r="K30" i="4"/>
  <c r="K36" i="4"/>
  <c r="J36" i="4"/>
  <c r="K35" i="4"/>
  <c r="J35" i="4"/>
  <c r="K34" i="4"/>
  <c r="J34" i="4"/>
  <c r="K33" i="4"/>
  <c r="J33" i="4"/>
  <c r="K32" i="4"/>
  <c r="J32" i="4"/>
  <c r="K31" i="4"/>
  <c r="J31" i="4"/>
  <c r="J30" i="4"/>
  <c r="K29" i="4"/>
  <c r="J29" i="4"/>
  <c r="K22" i="4"/>
  <c r="K28" i="4"/>
  <c r="J28" i="4"/>
  <c r="K27" i="4"/>
  <c r="J27" i="4"/>
  <c r="K26" i="4"/>
  <c r="J26" i="4"/>
  <c r="K25" i="4"/>
  <c r="J25" i="4"/>
  <c r="K24" i="4"/>
  <c r="J24" i="4"/>
  <c r="K23" i="4"/>
  <c r="J23" i="4"/>
  <c r="J22" i="4"/>
  <c r="K21" i="4"/>
  <c r="J21" i="4"/>
  <c r="K12" i="4"/>
  <c r="G222" i="4"/>
  <c r="H222" i="4"/>
  <c r="I222" i="4"/>
  <c r="F22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279" i="5" l="1"/>
  <c r="I223" i="4"/>
  <c r="G223" i="4"/>
  <c r="I104" i="7"/>
  <c r="G104" i="7"/>
  <c r="I64" i="6"/>
  <c r="G64" i="6"/>
  <c r="J103" i="7"/>
  <c r="K103" i="7"/>
  <c r="K63" i="6"/>
  <c r="J63" i="6"/>
  <c r="J222" i="4"/>
  <c r="K222" i="4"/>
  <c r="K104" i="7" l="1"/>
  <c r="K64" i="6"/>
  <c r="K223" i="4"/>
</calcChain>
</file>

<file path=xl/sharedStrings.xml><?xml version="1.0" encoding="utf-8"?>
<sst xmlns="http://schemas.openxmlformats.org/spreadsheetml/2006/main" count="2877" uniqueCount="208">
  <si>
    <t>Division</t>
  </si>
  <si>
    <t>Date</t>
  </si>
  <si>
    <t>Pld</t>
  </si>
  <si>
    <t>Won</t>
  </si>
  <si>
    <t>Drawn</t>
  </si>
  <si>
    <t>Lost</t>
  </si>
  <si>
    <t>For</t>
  </si>
  <si>
    <t>Against</t>
  </si>
  <si>
    <t>Points</t>
  </si>
  <si>
    <t>Angel Centre A</t>
  </si>
  <si>
    <t>Sevenoaks</t>
  </si>
  <si>
    <t>Angel Centre B</t>
  </si>
  <si>
    <t>Langton Green</t>
  </si>
  <si>
    <t>Wadhurst</t>
  </si>
  <si>
    <t>Angel Centre</t>
  </si>
  <si>
    <t>Hildenborough</t>
  </si>
  <si>
    <t>St. John's</t>
  </si>
  <si>
    <t>Ladies' 4s Premier</t>
  </si>
  <si>
    <t>Trident</t>
  </si>
  <si>
    <t>(KEY: *=incomplete team, c=conceded match, r=conceded by default as result card was never submitted)</t>
  </si>
  <si>
    <t xml:space="preserve">   </t>
  </si>
  <si>
    <t>Westborough</t>
  </si>
  <si>
    <t>Open 4s</t>
  </si>
  <si>
    <t>Masters' 50+</t>
  </si>
  <si>
    <t>Combination 4s</t>
  </si>
  <si>
    <t>Ladies' 4s</t>
  </si>
  <si>
    <t>Masters' 50</t>
  </si>
  <si>
    <t>Rubbers</t>
  </si>
  <si>
    <t>Player</t>
  </si>
  <si>
    <t>Played</t>
  </si>
  <si>
    <t xml:space="preserve">Games </t>
  </si>
  <si>
    <t xml:space="preserve">Points </t>
  </si>
  <si>
    <t>Opponents</t>
  </si>
  <si>
    <t>Team</t>
  </si>
  <si>
    <t>Suzanne Young</t>
  </si>
  <si>
    <t>Handicap</t>
  </si>
  <si>
    <t>Andrea Cornwell</t>
  </si>
  <si>
    <t>Steve Cook</t>
  </si>
  <si>
    <t>Peter Dyer</t>
  </si>
  <si>
    <t>Sheena Carlton</t>
  </si>
  <si>
    <t>Claire Donegan</t>
  </si>
  <si>
    <t>Mike Poupard</t>
  </si>
  <si>
    <t>Andy Jones</t>
  </si>
  <si>
    <t>Games</t>
  </si>
  <si>
    <t>Cross check</t>
  </si>
  <si>
    <t>Amberlea Cunliffe-Jones</t>
  </si>
  <si>
    <t>Dany Grade</t>
  </si>
  <si>
    <t>Harry Wang</t>
  </si>
  <si>
    <t>Mark Waterman</t>
  </si>
  <si>
    <t>Sue Couchane</t>
  </si>
  <si>
    <t>Sue Pratt</t>
  </si>
  <si>
    <t>Anthony Leung</t>
  </si>
  <si>
    <t>Mark van den Berg</t>
  </si>
  <si>
    <t>Angels A</t>
  </si>
  <si>
    <t>Angels B</t>
  </si>
  <si>
    <t>3 v 3</t>
  </si>
  <si>
    <t>6 v 0</t>
  </si>
  <si>
    <t>Prashant Baliga</t>
  </si>
  <si>
    <t>Jobin Scaria</t>
  </si>
  <si>
    <t>Larry Ridges</t>
  </si>
  <si>
    <t>Kulbir Minhas</t>
  </si>
  <si>
    <t>0 v 6</t>
  </si>
  <si>
    <t>Julie Kempson</t>
  </si>
  <si>
    <t>David Holloway</t>
  </si>
  <si>
    <t>Angel B</t>
  </si>
  <si>
    <t>Angel A</t>
  </si>
  <si>
    <t>5 v 1</t>
  </si>
  <si>
    <t>Caroline Edmunds</t>
  </si>
  <si>
    <t>Vicky Crichton</t>
  </si>
  <si>
    <t>Matthew Saunders</t>
  </si>
  <si>
    <t>Kenneth Lai</t>
  </si>
  <si>
    <t>Nicolas Deslandes</t>
  </si>
  <si>
    <t>Tony Fan</t>
  </si>
  <si>
    <t>Match</t>
  </si>
  <si>
    <t>Trident vs Sevenoaks</t>
  </si>
  <si>
    <t>Sevenoaks vs Angel Centre A</t>
  </si>
  <si>
    <t>Trident vs Angel Centre A</t>
  </si>
  <si>
    <t>St. John's vs Trident</t>
  </si>
  <si>
    <t>St. John's vs Langton Green</t>
  </si>
  <si>
    <t>Sevenoaks vs St. John's</t>
  </si>
  <si>
    <t>Langton Green vs Sevenoaks</t>
  </si>
  <si>
    <t>Langton Green vs St. John's</t>
  </si>
  <si>
    <t>Trident vs Wadhurst</t>
  </si>
  <si>
    <t>Wadhurst vs Sevenoaks</t>
  </si>
  <si>
    <t>Angel Centre vs Wadhurst</t>
  </si>
  <si>
    <t>Wadhurst vs St. John's</t>
  </si>
  <si>
    <t>Angel Centre A vs Wadhurst</t>
  </si>
  <si>
    <t>Matches to be played</t>
  </si>
  <si>
    <t xml:space="preserve">Masters' 50+ </t>
  </si>
  <si>
    <t xml:space="preserve">Open 4s </t>
  </si>
  <si>
    <t xml:space="preserve">Combination 4s </t>
  </si>
  <si>
    <t>1 v 5</t>
  </si>
  <si>
    <t>2 v 4</t>
  </si>
  <si>
    <t>Wendy Jones</t>
  </si>
  <si>
    <t>Irene Campbell</t>
  </si>
  <si>
    <t>Chris Jones</t>
  </si>
  <si>
    <t>Dereck Walker</t>
  </si>
  <si>
    <t>Peter Richardson</t>
  </si>
  <si>
    <t>Mike Barnes</t>
  </si>
  <si>
    <t>Robert Hatch</t>
  </si>
  <si>
    <t>Stuart Cowley</t>
  </si>
  <si>
    <t>Brian Gasking</t>
  </si>
  <si>
    <t>William Brown</t>
  </si>
  <si>
    <t>Eddie Tat On</t>
  </si>
  <si>
    <t>4 v 2</t>
  </si>
  <si>
    <t>Helen Saunders</t>
  </si>
  <si>
    <t>Usha Moran</t>
  </si>
  <si>
    <t>Adrian Wilkinson</t>
  </si>
  <si>
    <t>Peter Richards</t>
  </si>
  <si>
    <t>TUNBRIDGE WELLS BADMINTON LEAGUE RESULTS &amp; TABLES: All 4s Events</t>
  </si>
  <si>
    <t>TUNBRIDGE WELLS BADMINTON LEAGUE RESULTS &amp; TABLES: 4s Events</t>
  </si>
  <si>
    <t>Masters</t>
  </si>
  <si>
    <t>Alex Campbell</t>
  </si>
  <si>
    <t>Philip White</t>
  </si>
  <si>
    <t>Hendrik Schwartz</t>
  </si>
  <si>
    <t>David Kelly</t>
  </si>
  <si>
    <t>Christian Denman</t>
  </si>
  <si>
    <t>John Horton</t>
  </si>
  <si>
    <t>Janina Cookson</t>
  </si>
  <si>
    <t>Angel Centre v Sevenoaks</t>
  </si>
  <si>
    <t>rearranged from 1/11/24</t>
  </si>
  <si>
    <t>Greg Horsley</t>
  </si>
  <si>
    <t>Gerry Goldsmith</t>
  </si>
  <si>
    <t>Pauline Bunton</t>
  </si>
  <si>
    <t>Neal King</t>
  </si>
  <si>
    <t>Ladies 4s</t>
  </si>
  <si>
    <t>Amberlea Cunliffe Jones</t>
  </si>
  <si>
    <t>Sarah Wordsworth</t>
  </si>
  <si>
    <t>Donna Tolhurst</t>
  </si>
  <si>
    <t>Charlotte Brown</t>
  </si>
  <si>
    <t>Ann Wellington</t>
  </si>
  <si>
    <t>Uma Kunam</t>
  </si>
  <si>
    <t>Viv Johnson</t>
  </si>
  <si>
    <t>Stuart Smith</t>
  </si>
  <si>
    <t>Marilyn Banfield</t>
  </si>
  <si>
    <t>Helen Gaines</t>
  </si>
  <si>
    <t>Irene Cambell</t>
  </si>
  <si>
    <t>Sheila Jones</t>
  </si>
  <si>
    <t>Angie Walker</t>
  </si>
  <si>
    <t>Mike Wickham</t>
  </si>
  <si>
    <t>Angels</t>
  </si>
  <si>
    <t>Diana Peter</t>
  </si>
  <si>
    <t>Lisa Hills</t>
  </si>
  <si>
    <t>Luke Martin-Farla</t>
  </si>
  <si>
    <t>Amber Crichton</t>
  </si>
  <si>
    <t>Tom Hanson</t>
  </si>
  <si>
    <t>Olivia Bellanca</t>
  </si>
  <si>
    <t>Samreen Malik</t>
  </si>
  <si>
    <t>Victoria Millard</t>
  </si>
  <si>
    <t>Reya Patil</t>
  </si>
  <si>
    <t>COMBINATION 4s PLAYER PERFORMANCE</t>
  </si>
  <si>
    <t>OPEN 4s PLAYER PERFORMANCE</t>
  </si>
  <si>
    <t>MASTERS 4s PLAYER PERFORMANCE</t>
  </si>
  <si>
    <t>LADIES 4s PLAYER PERFORMANCE</t>
  </si>
  <si>
    <t>5 v1</t>
  </si>
  <si>
    <t>Crista Moule</t>
  </si>
  <si>
    <t>Nicholas Deslandes</t>
  </si>
  <si>
    <t>Sandra Shum</t>
  </si>
  <si>
    <t>Amy Ah-Kine</t>
  </si>
  <si>
    <t>Rebecca Saunders</t>
  </si>
  <si>
    <t>Ramya Ganesh</t>
  </si>
  <si>
    <t xml:space="preserve">Wadhurst (c) </t>
  </si>
  <si>
    <t>Trident*</t>
  </si>
  <si>
    <t>St. John's*</t>
  </si>
  <si>
    <t xml:space="preserve">ceded to St John's </t>
  </si>
  <si>
    <t>6 v 0 c</t>
  </si>
  <si>
    <t xml:space="preserve">Peter Richards </t>
  </si>
  <si>
    <t>Mark Van Den Berg</t>
  </si>
  <si>
    <t>Brian Lovell</t>
  </si>
  <si>
    <t>Ben Dames</t>
  </si>
  <si>
    <t>Rakesh Krishnakumar</t>
  </si>
  <si>
    <t>Matthew Maxwell</t>
  </si>
  <si>
    <t>Ruil Thomas</t>
  </si>
  <si>
    <t>Andrew Martin</t>
  </si>
  <si>
    <t>Henry Murfin</t>
  </si>
  <si>
    <t>Niranjan Jeyakumar</t>
  </si>
  <si>
    <t>Matthew Fenner</t>
  </si>
  <si>
    <t>David Langborne</t>
  </si>
  <si>
    <t>Jay Jindal</t>
  </si>
  <si>
    <t>Ying-Wei Lai</t>
  </si>
  <si>
    <t>Reece (ineligible)</t>
  </si>
  <si>
    <t>*14</t>
  </si>
  <si>
    <t>Leo Peng Li</t>
  </si>
  <si>
    <t>Richard Jones</t>
  </si>
  <si>
    <t>Alex Tunna</t>
  </si>
  <si>
    <t>Callum Edwards</t>
  </si>
  <si>
    <t>Jeremy Barnard</t>
  </si>
  <si>
    <t>Petch Manoharn</t>
  </si>
  <si>
    <t>Darren Fowler</t>
  </si>
  <si>
    <t>Paulline Bunton</t>
  </si>
  <si>
    <t>Henry So</t>
  </si>
  <si>
    <t>Hiro Iwahori</t>
  </si>
  <si>
    <t>Nathan Turner</t>
  </si>
  <si>
    <t>Sevenoaks*</t>
  </si>
  <si>
    <t>*match ceded 13/3 (St John's 6  v Trident 0)</t>
  </si>
  <si>
    <t>Langton Green*</t>
  </si>
  <si>
    <t>*match ceded 25/4 (Langton Green 6  v Sevenoaks 0)</t>
  </si>
  <si>
    <t>Chris Close</t>
  </si>
  <si>
    <t>ceded to Wadhurst</t>
  </si>
  <si>
    <t>Wadhurst*</t>
  </si>
  <si>
    <t>*match ceded 9/4 (Wadhurst 6  v St John's 0)</t>
  </si>
  <si>
    <t>* match ceded 17/4 (Sevenoaks 0 Angel Centre 6)</t>
  </si>
  <si>
    <t>Angel Centre*</t>
  </si>
  <si>
    <t>0 v 6 c</t>
  </si>
  <si>
    <t xml:space="preserve">ceded to Langton </t>
  </si>
  <si>
    <t>ceded to Angel</t>
  </si>
  <si>
    <t>Angel Centre A (c)</t>
  </si>
  <si>
    <t>2024 - 2025 Season (updated 17/04/25)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</si>
</sst>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-mmm"/>
    <numFmt numFmtId="165" formatCode="dddd\ dd\-mmm\-yy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shrinkToFi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 shrinkToFit="1"/>
    </xf>
    <xf numFmtId="164" fontId="2" fillId="4" borderId="0" xfId="0" applyNumberFormat="1" applyFont="1" applyFill="1" applyAlignment="1">
      <alignment horizontal="left"/>
    </xf>
    <xf numFmtId="0" fontId="0" fillId="0" borderId="1" xfId="0" applyBorder="1" applyAlignment="1">
      <alignment horizontal="center"/>
    </xf>
    <xf numFmtId="164" fontId="2" fillId="4" borderId="0" xfId="0" applyNumberFormat="1" applyFont="1" applyFill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2" fillId="7" borderId="2" xfId="0" applyNumberFormat="1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164" fontId="2" fillId="7" borderId="7" xfId="0" applyNumberFormat="1" applyFont="1" applyFill="1" applyBorder="1" applyAlignment="1">
      <alignment horizontal="center" vertical="center"/>
    </xf>
    <xf numFmtId="164" fontId="2" fillId="7" borderId="0" xfId="0" applyNumberFormat="1" applyFont="1" applyFill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4" fillId="3" borderId="5" xfId="0" applyNumberFormat="1" applyFont="1" applyFill="1" applyBorder="1" applyAlignment="1">
      <alignment horizontal="left" vertical="center" shrinkToFit="1"/>
    </xf>
    <xf numFmtId="164" fontId="4" fillId="3" borderId="10" xfId="0" applyNumberFormat="1" applyFont="1" applyFill="1" applyBorder="1" applyAlignment="1">
      <alignment horizontal="left" vertical="center" shrinkToFit="1"/>
    </xf>
    <xf numFmtId="164" fontId="4" fillId="3" borderId="6" xfId="0" applyNumberFormat="1" applyFont="1" applyFill="1" applyBorder="1" applyAlignment="1">
      <alignment horizontal="left" vertical="center" shrinkToFit="1"/>
    </xf>
    <xf numFmtId="164" fontId="2" fillId="4" borderId="0" xfId="0" applyNumberFormat="1" applyFont="1" applyFill="1" applyAlignment="1">
      <alignment horizontal="left"/>
    </xf>
    <xf numFmtId="164" fontId="2" fillId="0" borderId="0" xfId="0" applyNumberFormat="1" applyFont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2"/>
  <sheetViews>
    <sheetView showGridLines="0" showRowColHeaders="0" topLeftCell="B1" zoomScaleNormal="100" workbookViewId="0">
      <selection activeCell="AK235" sqref="AK235"/>
    </sheetView>
  </sheetViews>
  <sheetFormatPr defaultColWidth="25.5703125" defaultRowHeight="15" x14ac:dyDescent="0.25"/>
  <cols>
    <col min="1" max="1" width="2" hidden="1" customWidth="1"/>
    <col min="2" max="2" width="2" customWidth="1"/>
    <col min="3" max="3" width="22.85546875" style="6" customWidth="1"/>
    <col min="4" max="7" width="18.85546875" style="5" customWidth="1"/>
    <col min="8" max="228" width="18.85546875" customWidth="1"/>
    <col min="229" max="674" width="18.5703125" customWidth="1"/>
    <col min="675" max="718" width="14.5703125" customWidth="1"/>
    <col min="719" max="720" width="12.5703125" customWidth="1"/>
  </cols>
  <sheetData>
    <row r="1" spans="3:10" x14ac:dyDescent="0.25">
      <c r="C1" s="1" t="s">
        <v>109</v>
      </c>
      <c r="D1" s="2"/>
      <c r="E1" s="2"/>
      <c r="F1" s="2"/>
      <c r="G1" s="2"/>
    </row>
    <row r="2" spans="3:10" x14ac:dyDescent="0.25">
      <c r="C2" s="27" t="s">
        <v>207</v>
      </c>
      <c r="D2" s="29"/>
      <c r="E2" s="4" t="s">
        <v>19</v>
      </c>
    </row>
    <row r="4" spans="3:10" x14ac:dyDescent="0.25">
      <c r="H4" s="5"/>
      <c r="I4" s="5"/>
      <c r="J4" s="5"/>
    </row>
    <row r="5" spans="3:10" x14ac:dyDescent="0.25">
      <c r="C5" s="26" t="s">
        <v>17</v>
      </c>
      <c r="D5" s="8" t="s">
        <v>14</v>
      </c>
      <c r="E5" s="8" t="s">
        <v>12</v>
      </c>
      <c r="F5" s="8" t="s">
        <v>13</v>
      </c>
      <c r="G5" s="8" t="s">
        <v>21</v>
      </c>
      <c r="H5" s="5"/>
      <c r="I5" s="5"/>
      <c r="J5" s="5"/>
    </row>
    <row r="6" spans="3:10" x14ac:dyDescent="0.25">
      <c r="C6" s="9" t="s">
        <v>14</v>
      </c>
      <c r="D6" s="10"/>
      <c r="E6" s="8" t="s">
        <v>104</v>
      </c>
      <c r="F6" s="8" t="s">
        <v>55</v>
      </c>
      <c r="G6" s="8" t="s">
        <v>66</v>
      </c>
      <c r="H6" s="5"/>
      <c r="I6" s="5"/>
      <c r="J6" s="5"/>
    </row>
    <row r="7" spans="3:10" x14ac:dyDescent="0.25">
      <c r="C7" s="9" t="s">
        <v>12</v>
      </c>
      <c r="D7" s="8" t="s">
        <v>104</v>
      </c>
      <c r="E7" s="10"/>
      <c r="F7" s="8" t="s">
        <v>61</v>
      </c>
      <c r="G7" s="8" t="s">
        <v>55</v>
      </c>
      <c r="I7" s="5"/>
      <c r="J7" s="5"/>
    </row>
    <row r="8" spans="3:10" x14ac:dyDescent="0.25">
      <c r="C8" s="9" t="s">
        <v>13</v>
      </c>
      <c r="D8" s="8" t="s">
        <v>154</v>
      </c>
      <c r="E8" s="8" t="s">
        <v>56</v>
      </c>
      <c r="F8" s="10"/>
      <c r="G8" s="8" t="s">
        <v>104</v>
      </c>
      <c r="H8" s="5"/>
      <c r="I8" s="5"/>
      <c r="J8" s="5"/>
    </row>
    <row r="9" spans="3:10" x14ac:dyDescent="0.25">
      <c r="C9" s="9" t="s">
        <v>21</v>
      </c>
      <c r="D9" s="8" t="s">
        <v>104</v>
      </c>
      <c r="E9" s="8" t="s">
        <v>55</v>
      </c>
      <c r="F9" s="8" t="s">
        <v>55</v>
      </c>
      <c r="G9" s="10"/>
      <c r="H9" s="5"/>
      <c r="I9" s="5"/>
      <c r="J9" s="5"/>
    </row>
    <row r="10" spans="3:10" x14ac:dyDescent="0.25">
      <c r="H10" s="5"/>
      <c r="I10" s="5"/>
      <c r="J10" s="5"/>
    </row>
    <row r="11" spans="3:10" x14ac:dyDescent="0.25">
      <c r="C11" s="26" t="s">
        <v>22</v>
      </c>
      <c r="D11" s="8" t="s">
        <v>14</v>
      </c>
      <c r="E11" s="8" t="s">
        <v>15</v>
      </c>
      <c r="F11" s="8" t="s">
        <v>12</v>
      </c>
      <c r="G11" s="8" t="s">
        <v>10</v>
      </c>
      <c r="H11" s="8" t="s">
        <v>16</v>
      </c>
      <c r="I11" s="8" t="s">
        <v>18</v>
      </c>
      <c r="J11" s="8" t="s">
        <v>13</v>
      </c>
    </row>
    <row r="12" spans="3:10" x14ac:dyDescent="0.25">
      <c r="C12" s="9" t="s">
        <v>14</v>
      </c>
      <c r="D12" s="10"/>
      <c r="E12" s="8" t="s">
        <v>104</v>
      </c>
      <c r="F12" s="8" t="s">
        <v>66</v>
      </c>
      <c r="G12" s="8" t="s">
        <v>55</v>
      </c>
      <c r="H12" s="8" t="s">
        <v>56</v>
      </c>
      <c r="I12" s="8" t="s">
        <v>55</v>
      </c>
      <c r="J12" s="30">
        <v>45772</v>
      </c>
    </row>
    <row r="13" spans="3:10" x14ac:dyDescent="0.25">
      <c r="C13" s="9" t="s">
        <v>15</v>
      </c>
      <c r="D13" s="8" t="s">
        <v>92</v>
      </c>
      <c r="E13" s="10"/>
      <c r="F13" s="8" t="s">
        <v>56</v>
      </c>
      <c r="G13" s="8" t="s">
        <v>55</v>
      </c>
      <c r="H13" s="8" t="s">
        <v>104</v>
      </c>
      <c r="I13" s="8" t="s">
        <v>92</v>
      </c>
      <c r="J13" s="8" t="s">
        <v>104</v>
      </c>
    </row>
    <row r="14" spans="3:10" x14ac:dyDescent="0.25">
      <c r="C14" s="9" t="s">
        <v>12</v>
      </c>
      <c r="D14" s="8" t="s">
        <v>92</v>
      </c>
      <c r="E14" s="8" t="s">
        <v>55</v>
      </c>
      <c r="F14" s="10"/>
      <c r="G14" s="30">
        <v>45779</v>
      </c>
      <c r="H14" s="30">
        <v>45786</v>
      </c>
      <c r="I14" s="8" t="s">
        <v>92</v>
      </c>
      <c r="J14" s="8" t="s">
        <v>92</v>
      </c>
    </row>
    <row r="15" spans="3:10" x14ac:dyDescent="0.25">
      <c r="C15" s="9" t="s">
        <v>10</v>
      </c>
      <c r="D15" s="8" t="s">
        <v>55</v>
      </c>
      <c r="E15" s="8" t="s">
        <v>92</v>
      </c>
      <c r="F15" s="8" t="s">
        <v>55</v>
      </c>
      <c r="G15" s="10"/>
      <c r="H15" s="30">
        <v>45771</v>
      </c>
      <c r="I15" s="8" t="s">
        <v>66</v>
      </c>
      <c r="J15" s="8" t="s">
        <v>55</v>
      </c>
    </row>
    <row r="16" spans="3:10" x14ac:dyDescent="0.25">
      <c r="C16" s="9" t="s">
        <v>16</v>
      </c>
      <c r="D16" s="8" t="s">
        <v>61</v>
      </c>
      <c r="E16" s="8" t="s">
        <v>92</v>
      </c>
      <c r="F16" s="30">
        <v>45764</v>
      </c>
      <c r="G16" s="8" t="s">
        <v>55</v>
      </c>
      <c r="H16" s="10"/>
      <c r="I16" s="8" t="s">
        <v>165</v>
      </c>
      <c r="J16" s="8" t="s">
        <v>56</v>
      </c>
    </row>
    <row r="17" spans="3:10" x14ac:dyDescent="0.25">
      <c r="C17" s="9" t="s">
        <v>18</v>
      </c>
      <c r="D17" s="8" t="s">
        <v>104</v>
      </c>
      <c r="E17" s="8" t="s">
        <v>104</v>
      </c>
      <c r="F17" s="8" t="s">
        <v>56</v>
      </c>
      <c r="G17" s="30">
        <v>45789</v>
      </c>
      <c r="H17" s="8" t="s">
        <v>56</v>
      </c>
      <c r="I17" s="10"/>
      <c r="J17" s="8" t="s">
        <v>61</v>
      </c>
    </row>
    <row r="18" spans="3:10" x14ac:dyDescent="0.25">
      <c r="C18" s="9" t="s">
        <v>13</v>
      </c>
      <c r="D18" s="8" t="s">
        <v>104</v>
      </c>
      <c r="E18" s="8" t="s">
        <v>92</v>
      </c>
      <c r="F18" s="8" t="s">
        <v>55</v>
      </c>
      <c r="G18" s="8" t="s">
        <v>104</v>
      </c>
      <c r="H18" s="8" t="s">
        <v>165</v>
      </c>
      <c r="I18" s="8" t="s">
        <v>92</v>
      </c>
      <c r="J18" s="10"/>
    </row>
    <row r="19" spans="3:10" x14ac:dyDescent="0.25">
      <c r="H19" s="5"/>
      <c r="I19" s="5"/>
      <c r="J19" s="5"/>
    </row>
    <row r="20" spans="3:10" x14ac:dyDescent="0.25">
      <c r="C20" s="26" t="s">
        <v>23</v>
      </c>
      <c r="D20" s="8" t="s">
        <v>14</v>
      </c>
      <c r="E20" s="8" t="s">
        <v>10</v>
      </c>
      <c r="F20" s="8" t="s">
        <v>18</v>
      </c>
      <c r="G20" s="8" t="s">
        <v>13</v>
      </c>
      <c r="J20" s="5"/>
    </row>
    <row r="21" spans="3:10" x14ac:dyDescent="0.25">
      <c r="C21" s="9" t="s">
        <v>14</v>
      </c>
      <c r="D21" s="10"/>
      <c r="E21" s="30">
        <v>45786</v>
      </c>
      <c r="F21" s="8" t="s">
        <v>92</v>
      </c>
      <c r="G21" s="30">
        <v>45777</v>
      </c>
      <c r="J21" s="5"/>
    </row>
    <row r="22" spans="3:10" x14ac:dyDescent="0.25">
      <c r="C22" s="9" t="s">
        <v>10</v>
      </c>
      <c r="D22" s="8" t="s">
        <v>203</v>
      </c>
      <c r="E22" s="10"/>
      <c r="F22" s="8" t="s">
        <v>55</v>
      </c>
      <c r="G22" s="8" t="s">
        <v>104</v>
      </c>
      <c r="J22" s="5"/>
    </row>
    <row r="23" spans="3:10" x14ac:dyDescent="0.25">
      <c r="C23" s="9" t="s">
        <v>18</v>
      </c>
      <c r="D23" s="8" t="s">
        <v>104</v>
      </c>
      <c r="E23" s="8" t="s">
        <v>66</v>
      </c>
      <c r="F23" s="10"/>
      <c r="G23" s="30">
        <v>45781</v>
      </c>
      <c r="J23" s="5"/>
    </row>
    <row r="24" spans="3:10" x14ac:dyDescent="0.25">
      <c r="C24" s="9" t="s">
        <v>13</v>
      </c>
      <c r="D24" s="8" t="s">
        <v>92</v>
      </c>
      <c r="E24" s="30">
        <v>45789</v>
      </c>
      <c r="F24" s="8" t="s">
        <v>55</v>
      </c>
      <c r="G24" s="10"/>
      <c r="J24" s="5"/>
    </row>
    <row r="25" spans="3:10" x14ac:dyDescent="0.25">
      <c r="H25" s="5"/>
      <c r="I25" s="5"/>
      <c r="J25" s="5"/>
    </row>
    <row r="26" spans="3:10" x14ac:dyDescent="0.25">
      <c r="C26" s="26" t="s">
        <v>24</v>
      </c>
      <c r="D26" s="8" t="s">
        <v>9</v>
      </c>
      <c r="E26" s="8" t="s">
        <v>11</v>
      </c>
      <c r="F26" s="8" t="s">
        <v>12</v>
      </c>
      <c r="G26" s="8" t="s">
        <v>10</v>
      </c>
      <c r="H26" s="8" t="s">
        <v>18</v>
      </c>
      <c r="I26" s="8" t="s">
        <v>13</v>
      </c>
    </row>
    <row r="27" spans="3:10" x14ac:dyDescent="0.25">
      <c r="C27" s="9" t="s">
        <v>9</v>
      </c>
      <c r="D27" s="10"/>
      <c r="E27" s="8" t="s">
        <v>56</v>
      </c>
      <c r="F27" s="8" t="s">
        <v>56</v>
      </c>
      <c r="G27" s="8" t="s">
        <v>56</v>
      </c>
      <c r="H27" s="8" t="s">
        <v>104</v>
      </c>
      <c r="I27" s="30">
        <v>45786</v>
      </c>
    </row>
    <row r="28" spans="3:10" x14ac:dyDescent="0.25">
      <c r="C28" s="9" t="s">
        <v>11</v>
      </c>
      <c r="D28" s="8" t="s">
        <v>61</v>
      </c>
      <c r="E28" s="10"/>
      <c r="F28" s="8" t="s">
        <v>91</v>
      </c>
      <c r="G28" s="8" t="s">
        <v>104</v>
      </c>
      <c r="H28" s="8" t="s">
        <v>91</v>
      </c>
      <c r="I28" s="8" t="s">
        <v>66</v>
      </c>
    </row>
    <row r="29" spans="3:10" x14ac:dyDescent="0.25">
      <c r="C29" s="9" t="s">
        <v>12</v>
      </c>
      <c r="D29" s="8" t="s">
        <v>91</v>
      </c>
      <c r="E29" s="8" t="s">
        <v>104</v>
      </c>
      <c r="F29" s="10"/>
      <c r="G29" s="8" t="s">
        <v>165</v>
      </c>
      <c r="H29" s="8" t="s">
        <v>91</v>
      </c>
      <c r="I29" s="8" t="s">
        <v>104</v>
      </c>
    </row>
    <row r="30" spans="3:10" x14ac:dyDescent="0.25">
      <c r="C30" s="9" t="s">
        <v>10</v>
      </c>
      <c r="D30" s="8" t="s">
        <v>55</v>
      </c>
      <c r="E30" s="8" t="s">
        <v>55</v>
      </c>
      <c r="F30" s="8" t="s">
        <v>104</v>
      </c>
      <c r="G30" s="10"/>
      <c r="H30" s="8" t="s">
        <v>55</v>
      </c>
      <c r="I30" s="8" t="s">
        <v>55</v>
      </c>
    </row>
    <row r="31" spans="3:10" x14ac:dyDescent="0.25">
      <c r="C31" s="9" t="s">
        <v>18</v>
      </c>
      <c r="D31" s="30">
        <v>45775</v>
      </c>
      <c r="E31" s="8" t="s">
        <v>92</v>
      </c>
      <c r="F31" s="8" t="s">
        <v>66</v>
      </c>
      <c r="G31" s="8" t="s">
        <v>66</v>
      </c>
      <c r="H31" s="10"/>
      <c r="I31" s="8" t="s">
        <v>104</v>
      </c>
    </row>
    <row r="32" spans="3:10" x14ac:dyDescent="0.25">
      <c r="C32" s="9" t="s">
        <v>13</v>
      </c>
      <c r="D32" s="8" t="s">
        <v>61</v>
      </c>
      <c r="E32" s="8" t="s">
        <v>55</v>
      </c>
      <c r="F32" s="8" t="s">
        <v>56</v>
      </c>
      <c r="G32" s="8" t="s">
        <v>56</v>
      </c>
      <c r="H32" s="8" t="s">
        <v>66</v>
      </c>
      <c r="I32" s="10"/>
    </row>
    <row r="33" spans="3:9" x14ac:dyDescent="0.25">
      <c r="C33" s="49"/>
      <c r="D33" s="50"/>
      <c r="E33" s="50"/>
      <c r="F33" s="50"/>
      <c r="G33" s="50"/>
      <c r="H33" s="50"/>
      <c r="I33" s="51"/>
    </row>
    <row r="35" spans="3:9" ht="15.75" x14ac:dyDescent="0.25">
      <c r="C35" s="45" t="s">
        <v>87</v>
      </c>
      <c r="D35" s="46"/>
      <c r="E35" s="46"/>
      <c r="F35" s="47"/>
    </row>
    <row r="36" spans="3:9" ht="15.75" x14ac:dyDescent="0.25">
      <c r="C36" s="22" t="s">
        <v>1</v>
      </c>
      <c r="D36" s="22" t="s">
        <v>0</v>
      </c>
      <c r="E36" s="43" t="s">
        <v>73</v>
      </c>
      <c r="F36" s="44"/>
    </row>
    <row r="37" spans="3:9" x14ac:dyDescent="0.25">
      <c r="C37" s="36">
        <v>45729</v>
      </c>
      <c r="D37" s="37" t="s">
        <v>22</v>
      </c>
      <c r="E37" s="38" t="s">
        <v>77</v>
      </c>
      <c r="F37" s="39"/>
      <c r="G37" s="40" t="s">
        <v>164</v>
      </c>
    </row>
    <row r="38" spans="3:9" x14ac:dyDescent="0.25">
      <c r="C38" s="36">
        <v>45756</v>
      </c>
      <c r="D38" s="37" t="s">
        <v>22</v>
      </c>
      <c r="E38" s="38" t="s">
        <v>85</v>
      </c>
      <c r="F38" s="39"/>
      <c r="G38" s="40" t="s">
        <v>198</v>
      </c>
    </row>
    <row r="39" spans="3:9" x14ac:dyDescent="0.25">
      <c r="C39" s="36">
        <v>45764</v>
      </c>
      <c r="D39" s="37" t="s">
        <v>88</v>
      </c>
      <c r="E39" s="38" t="s">
        <v>75</v>
      </c>
      <c r="F39" s="39"/>
      <c r="G39" s="40" t="s">
        <v>205</v>
      </c>
    </row>
    <row r="40" spans="3:9" x14ac:dyDescent="0.25">
      <c r="C40" s="23">
        <v>45764</v>
      </c>
      <c r="D40" s="16" t="s">
        <v>89</v>
      </c>
      <c r="E40" s="20" t="s">
        <v>78</v>
      </c>
      <c r="F40" s="18"/>
    </row>
    <row r="41" spans="3:9" x14ac:dyDescent="0.25">
      <c r="C41" s="23">
        <v>45771</v>
      </c>
      <c r="D41" s="16" t="s">
        <v>89</v>
      </c>
      <c r="E41" s="20" t="s">
        <v>79</v>
      </c>
      <c r="F41" s="18"/>
      <c r="G41" s="25"/>
    </row>
    <row r="42" spans="3:9" x14ac:dyDescent="0.25">
      <c r="C42" s="36">
        <v>45772</v>
      </c>
      <c r="D42" s="37" t="s">
        <v>90</v>
      </c>
      <c r="E42" s="38" t="s">
        <v>80</v>
      </c>
      <c r="F42" s="39"/>
      <c r="G42" s="40" t="s">
        <v>204</v>
      </c>
    </row>
    <row r="43" spans="3:9" x14ac:dyDescent="0.25">
      <c r="C43" s="23">
        <v>45772</v>
      </c>
      <c r="D43" s="16" t="s">
        <v>89</v>
      </c>
      <c r="E43" s="20" t="s">
        <v>84</v>
      </c>
      <c r="F43" s="18"/>
    </row>
    <row r="44" spans="3:9" x14ac:dyDescent="0.25">
      <c r="C44" s="23">
        <v>45775</v>
      </c>
      <c r="D44" s="16" t="s">
        <v>90</v>
      </c>
      <c r="E44" s="20" t="s">
        <v>76</v>
      </c>
      <c r="F44" s="18"/>
    </row>
    <row r="45" spans="3:9" x14ac:dyDescent="0.25">
      <c r="C45" s="23">
        <v>45777</v>
      </c>
      <c r="D45" s="16" t="s">
        <v>88</v>
      </c>
      <c r="E45" s="20" t="s">
        <v>86</v>
      </c>
      <c r="F45" s="18"/>
    </row>
    <row r="46" spans="3:9" x14ac:dyDescent="0.25">
      <c r="C46" s="23">
        <v>45779</v>
      </c>
      <c r="D46" s="16" t="s">
        <v>89</v>
      </c>
      <c r="E46" s="20" t="s">
        <v>80</v>
      </c>
      <c r="F46" s="18"/>
    </row>
    <row r="47" spans="3:9" x14ac:dyDescent="0.25">
      <c r="C47" s="23">
        <v>45781</v>
      </c>
      <c r="D47" s="16" t="s">
        <v>23</v>
      </c>
      <c r="E47" s="20" t="s">
        <v>82</v>
      </c>
      <c r="F47" s="18"/>
    </row>
    <row r="48" spans="3:9" x14ac:dyDescent="0.25">
      <c r="C48" s="23">
        <v>45786</v>
      </c>
      <c r="D48" s="16" t="s">
        <v>90</v>
      </c>
      <c r="E48" s="20" t="s">
        <v>86</v>
      </c>
      <c r="F48" s="18"/>
    </row>
    <row r="49" spans="3:7" x14ac:dyDescent="0.25">
      <c r="C49" s="23">
        <v>45786</v>
      </c>
      <c r="D49" s="16" t="s">
        <v>22</v>
      </c>
      <c r="E49" s="20" t="s">
        <v>81</v>
      </c>
      <c r="F49" s="18"/>
    </row>
    <row r="50" spans="3:7" x14ac:dyDescent="0.25">
      <c r="C50" s="23">
        <v>45786</v>
      </c>
      <c r="D50" s="16" t="s">
        <v>111</v>
      </c>
      <c r="E50" s="20" t="s">
        <v>119</v>
      </c>
      <c r="F50" s="18"/>
      <c r="G50" s="25" t="s">
        <v>120</v>
      </c>
    </row>
    <row r="51" spans="3:7" x14ac:dyDescent="0.25">
      <c r="C51" s="23">
        <v>45789</v>
      </c>
      <c r="D51" s="16" t="s">
        <v>88</v>
      </c>
      <c r="E51" s="20" t="s">
        <v>83</v>
      </c>
      <c r="F51" s="18"/>
    </row>
    <row r="52" spans="3:7" x14ac:dyDescent="0.25">
      <c r="C52" s="24">
        <v>45789</v>
      </c>
      <c r="D52" s="17" t="s">
        <v>22</v>
      </c>
      <c r="E52" s="21" t="s">
        <v>74</v>
      </c>
      <c r="F52" s="19"/>
    </row>
  </sheetData>
  <mergeCells count="2">
    <mergeCell ref="E36:F36"/>
    <mergeCell ref="C35:F35"/>
  </mergeCells>
  <printOptions horizontalCentered="1"/>
  <pageMargins left="0.25" right="0.25" top="0.25" bottom="0.25" header="0.3" footer="0.3"/>
  <pageSetup paperSize="9" scale="91" fitToHeight="0" orientation="landscape" cellComments="atEnd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29"/>
  <sheetViews>
    <sheetView showGridLines="0" showRowColHeaders="0" tabSelected="1" topLeftCell="B1" workbookViewId="0">
      <selection activeCell="BF184" sqref="BF184"/>
    </sheetView>
  </sheetViews>
  <sheetFormatPr defaultColWidth="9.140625" defaultRowHeight="15" x14ac:dyDescent="0.25"/>
  <cols>
    <col min="1" max="1" width="2" hidden="1" customWidth="1"/>
    <col min="2" max="2" width="7.42578125" customWidth="1"/>
    <col min="3" max="3" width="20.42578125" bestFit="1" customWidth="1"/>
    <col min="4" max="11" width="7.42578125" customWidth="1"/>
    <col min="12" max="12" width="20.42578125" bestFit="1" customWidth="1"/>
    <col min="13" max="23" width="7.42578125" customWidth="1"/>
  </cols>
  <sheetData>
    <row r="1" spans="2:20" x14ac:dyDescent="0.25">
      <c r="C1" s="1" t="s">
        <v>110</v>
      </c>
    </row>
    <row r="2" spans="2:20" x14ac:dyDescent="0.25">
      <c r="C2" s="48" t="s">
        <v>207</v>
      </c>
      <c r="D2" s="48"/>
      <c r="E2" s="48"/>
    </row>
    <row r="4" spans="2:20" x14ac:dyDescent="0.25">
      <c r="C4" s="32" t="s">
        <v>25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31" t="s">
        <v>8</v>
      </c>
      <c r="L4" s="32" t="s">
        <v>26</v>
      </c>
      <c r="M4" s="7" t="s">
        <v>2</v>
      </c>
      <c r="N4" s="7" t="s">
        <v>3</v>
      </c>
      <c r="O4" s="7" t="s">
        <v>4</v>
      </c>
      <c r="P4" s="7" t="s">
        <v>5</v>
      </c>
      <c r="Q4" s="7" t="s">
        <v>6</v>
      </c>
      <c r="R4" s="7" t="s">
        <v>7</v>
      </c>
      <c r="S4" s="31" t="s">
        <v>8</v>
      </c>
    </row>
    <row r="5" spans="2:20" x14ac:dyDescent="0.25">
      <c r="B5" t="s">
        <v>20</v>
      </c>
      <c r="C5" s="34" t="s">
        <v>161</v>
      </c>
      <c r="D5" s="34">
        <v>6</v>
      </c>
      <c r="E5" s="34">
        <v>4</v>
      </c>
      <c r="F5" s="34">
        <v>2</v>
      </c>
      <c r="G5" s="34">
        <v>0</v>
      </c>
      <c r="H5" s="34">
        <v>27</v>
      </c>
      <c r="I5" s="34">
        <v>9</v>
      </c>
      <c r="J5" s="34">
        <f>+(E5*2)+(F5*1)+(G5*0)</f>
        <v>10</v>
      </c>
      <c r="K5" t="s">
        <v>20</v>
      </c>
      <c r="L5" s="7" t="s">
        <v>18</v>
      </c>
      <c r="M5" s="7">
        <v>5</v>
      </c>
      <c r="N5" s="7">
        <v>3</v>
      </c>
      <c r="O5" s="7">
        <v>2</v>
      </c>
      <c r="P5" s="7">
        <v>0</v>
      </c>
      <c r="Q5" s="7">
        <v>19</v>
      </c>
      <c r="R5" s="7">
        <v>11</v>
      </c>
      <c r="S5" s="31">
        <f t="shared" ref="S5:S8" si="0">+(N5*2)+(O5*1)+(P5*0)</f>
        <v>8</v>
      </c>
      <c r="T5" t="s">
        <v>20</v>
      </c>
    </row>
    <row r="6" spans="2:20" x14ac:dyDescent="0.25">
      <c r="C6" s="11" t="s">
        <v>14</v>
      </c>
      <c r="D6" s="11">
        <v>6</v>
      </c>
      <c r="E6" s="11">
        <v>2</v>
      </c>
      <c r="F6" s="11">
        <v>1</v>
      </c>
      <c r="G6" s="11">
        <v>3</v>
      </c>
      <c r="H6" s="11">
        <v>17</v>
      </c>
      <c r="I6" s="11">
        <v>19</v>
      </c>
      <c r="J6" s="31">
        <f t="shared" ref="J6" si="1">+(E6*2)+(F6*1)+(G6*0)</f>
        <v>5</v>
      </c>
      <c r="L6" s="7" t="s">
        <v>202</v>
      </c>
      <c r="M6" s="7">
        <v>4</v>
      </c>
      <c r="N6" s="7">
        <v>2</v>
      </c>
      <c r="O6" s="7">
        <v>0</v>
      </c>
      <c r="P6" s="7">
        <v>2</v>
      </c>
      <c r="Q6" s="7">
        <v>14</v>
      </c>
      <c r="R6" s="7">
        <v>10</v>
      </c>
      <c r="S6" s="31">
        <f t="shared" si="0"/>
        <v>4</v>
      </c>
    </row>
    <row r="7" spans="2:20" x14ac:dyDescent="0.25">
      <c r="C7" s="7" t="s">
        <v>21</v>
      </c>
      <c r="D7" s="7">
        <v>6</v>
      </c>
      <c r="E7" s="7">
        <v>1</v>
      </c>
      <c r="F7" s="7">
        <v>3</v>
      </c>
      <c r="G7" s="7">
        <v>2</v>
      </c>
      <c r="H7" s="7">
        <v>16</v>
      </c>
      <c r="I7" s="7">
        <v>20</v>
      </c>
      <c r="J7" s="31">
        <f t="shared" ref="J7" si="2">+(E7*2)+(F7*1)+(G7*0)</f>
        <v>5</v>
      </c>
      <c r="L7" s="11" t="s">
        <v>193</v>
      </c>
      <c r="M7" s="11">
        <v>4</v>
      </c>
      <c r="N7" s="11">
        <v>1</v>
      </c>
      <c r="O7" s="11">
        <v>1</v>
      </c>
      <c r="P7" s="11">
        <v>2</v>
      </c>
      <c r="Q7" s="11">
        <v>8</v>
      </c>
      <c r="R7" s="11">
        <v>16</v>
      </c>
      <c r="S7" s="31">
        <f t="shared" ref="S7" si="3">+(N7*2)+(O7*1)+(P7*0)</f>
        <v>3</v>
      </c>
    </row>
    <row r="8" spans="2:20" x14ac:dyDescent="0.25">
      <c r="C8" s="7" t="s">
        <v>12</v>
      </c>
      <c r="D8" s="7">
        <v>6</v>
      </c>
      <c r="E8" s="7">
        <v>1</v>
      </c>
      <c r="F8" s="7">
        <v>2</v>
      </c>
      <c r="G8" s="7">
        <v>3</v>
      </c>
      <c r="H8" s="7">
        <v>12</v>
      </c>
      <c r="I8" s="7">
        <v>24</v>
      </c>
      <c r="J8" s="31">
        <f t="shared" ref="J8" si="4">+(E8*2)+(F8*1)+(G8*0)</f>
        <v>4</v>
      </c>
      <c r="L8" s="7" t="s">
        <v>13</v>
      </c>
      <c r="M8" s="7">
        <v>3</v>
      </c>
      <c r="N8" s="7">
        <v>0</v>
      </c>
      <c r="O8" s="7">
        <v>1</v>
      </c>
      <c r="P8" s="7">
        <v>2</v>
      </c>
      <c r="Q8" s="7">
        <v>7</v>
      </c>
      <c r="R8" s="7">
        <v>11</v>
      </c>
      <c r="S8" s="31">
        <f t="shared" si="0"/>
        <v>1</v>
      </c>
    </row>
    <row r="9" spans="2:20" x14ac:dyDescent="0.25">
      <c r="L9" s="41" t="s">
        <v>201</v>
      </c>
    </row>
    <row r="10" spans="2:20" x14ac:dyDescent="0.25">
      <c r="L10" s="3"/>
      <c r="M10" s="3"/>
      <c r="N10" s="3"/>
      <c r="O10" s="3"/>
      <c r="P10" s="3"/>
      <c r="Q10" s="3"/>
      <c r="R10" s="3"/>
      <c r="S10" s="3"/>
    </row>
    <row r="11" spans="2:20" x14ac:dyDescent="0.25">
      <c r="C11" s="32" t="s">
        <v>22</v>
      </c>
      <c r="D11" s="7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31" t="s">
        <v>8</v>
      </c>
      <c r="L11" s="32" t="s">
        <v>24</v>
      </c>
      <c r="M11" s="7" t="s">
        <v>2</v>
      </c>
      <c r="N11" s="7" t="s">
        <v>3</v>
      </c>
      <c r="O11" s="7" t="s">
        <v>4</v>
      </c>
      <c r="P11" s="7" t="s">
        <v>5</v>
      </c>
      <c r="Q11" s="7" t="s">
        <v>6</v>
      </c>
      <c r="R11" s="7" t="s">
        <v>7</v>
      </c>
      <c r="S11" s="31" t="s">
        <v>8</v>
      </c>
    </row>
    <row r="12" spans="2:20" x14ac:dyDescent="0.25">
      <c r="C12" s="11" t="s">
        <v>14</v>
      </c>
      <c r="D12" s="11">
        <v>11</v>
      </c>
      <c r="E12" s="11">
        <v>6</v>
      </c>
      <c r="F12" s="11">
        <v>3</v>
      </c>
      <c r="G12" s="11">
        <v>2</v>
      </c>
      <c r="H12" s="11">
        <v>42</v>
      </c>
      <c r="I12" s="11">
        <v>24</v>
      </c>
      <c r="J12" s="31">
        <f t="shared" ref="J12:J14" si="5">+(E12*2)+(F12*1)+(G12*0)</f>
        <v>15</v>
      </c>
      <c r="L12" s="42" t="s">
        <v>206</v>
      </c>
      <c r="M12" s="42">
        <v>8</v>
      </c>
      <c r="N12" s="42">
        <v>7</v>
      </c>
      <c r="O12" s="42">
        <v>1</v>
      </c>
      <c r="P12" s="42">
        <v>0</v>
      </c>
      <c r="Q12" s="42">
        <v>42</v>
      </c>
      <c r="R12" s="42">
        <v>6</v>
      </c>
      <c r="S12" s="34">
        <f t="shared" ref="S12:S14" si="6">+(N12*2)+(O12*1)+(P12*0)</f>
        <v>15</v>
      </c>
    </row>
    <row r="13" spans="2:20" x14ac:dyDescent="0.25">
      <c r="C13" s="7" t="s">
        <v>162</v>
      </c>
      <c r="D13" s="7">
        <v>11</v>
      </c>
      <c r="E13" s="7">
        <v>7</v>
      </c>
      <c r="F13" s="7">
        <v>1</v>
      </c>
      <c r="G13" s="7">
        <v>3</v>
      </c>
      <c r="H13" s="7">
        <v>36</v>
      </c>
      <c r="I13" s="7">
        <v>30</v>
      </c>
      <c r="J13" s="31">
        <f t="shared" si="5"/>
        <v>15</v>
      </c>
      <c r="L13" s="7" t="s">
        <v>18</v>
      </c>
      <c r="M13" s="7">
        <v>9</v>
      </c>
      <c r="N13" s="7">
        <v>5</v>
      </c>
      <c r="O13" s="7">
        <v>1</v>
      </c>
      <c r="P13" s="7">
        <v>3</v>
      </c>
      <c r="Q13" s="7">
        <v>32</v>
      </c>
      <c r="R13" s="7">
        <v>22</v>
      </c>
      <c r="S13" s="31">
        <f t="shared" si="6"/>
        <v>11</v>
      </c>
    </row>
    <row r="14" spans="2:20" x14ac:dyDescent="0.25">
      <c r="C14" s="7" t="s">
        <v>15</v>
      </c>
      <c r="D14" s="7">
        <v>12</v>
      </c>
      <c r="E14" s="7">
        <v>6</v>
      </c>
      <c r="F14" s="7">
        <v>2</v>
      </c>
      <c r="G14" s="7">
        <v>4</v>
      </c>
      <c r="H14" s="7">
        <v>40</v>
      </c>
      <c r="I14" s="7">
        <v>32</v>
      </c>
      <c r="J14" s="31">
        <f t="shared" si="5"/>
        <v>14</v>
      </c>
      <c r="L14" s="7" t="s">
        <v>13</v>
      </c>
      <c r="M14" s="7">
        <v>9</v>
      </c>
      <c r="N14" s="7">
        <v>3</v>
      </c>
      <c r="O14" s="7">
        <v>2</v>
      </c>
      <c r="P14" s="7">
        <v>4</v>
      </c>
      <c r="Q14" s="7">
        <v>28</v>
      </c>
      <c r="R14" s="7">
        <v>26</v>
      </c>
      <c r="S14" s="31">
        <f t="shared" si="6"/>
        <v>8</v>
      </c>
    </row>
    <row r="15" spans="2:20" x14ac:dyDescent="0.25">
      <c r="C15" s="8" t="s">
        <v>199</v>
      </c>
      <c r="D15" s="7">
        <v>11</v>
      </c>
      <c r="E15" s="7">
        <v>5</v>
      </c>
      <c r="F15" s="7">
        <v>2</v>
      </c>
      <c r="G15" s="7">
        <v>4</v>
      </c>
      <c r="H15" s="7">
        <v>36</v>
      </c>
      <c r="I15" s="7">
        <v>30</v>
      </c>
      <c r="J15" s="31">
        <f t="shared" ref="J15:J16" si="7">+(E15*2)+(F15*1)+(G15*0)</f>
        <v>12</v>
      </c>
      <c r="L15" s="7" t="s">
        <v>195</v>
      </c>
      <c r="M15" s="7">
        <v>10</v>
      </c>
      <c r="N15" s="7">
        <v>4</v>
      </c>
      <c r="O15" s="7">
        <v>0</v>
      </c>
      <c r="P15" s="7">
        <v>6</v>
      </c>
      <c r="Q15" s="7">
        <v>24</v>
      </c>
      <c r="R15" s="7">
        <v>36</v>
      </c>
      <c r="S15" s="31">
        <f t="shared" ref="S15:S16" si="8">+(N15*2)+(O15*1)+(P15*0)</f>
        <v>8</v>
      </c>
    </row>
    <row r="16" spans="2:20" x14ac:dyDescent="0.25">
      <c r="C16" s="7" t="s">
        <v>10</v>
      </c>
      <c r="D16" s="7">
        <v>9</v>
      </c>
      <c r="E16" s="7">
        <v>1</v>
      </c>
      <c r="F16" s="7">
        <v>6</v>
      </c>
      <c r="G16" s="7">
        <v>2</v>
      </c>
      <c r="H16" s="7">
        <v>27</v>
      </c>
      <c r="I16" s="7">
        <v>27</v>
      </c>
      <c r="J16" s="31">
        <f t="shared" si="7"/>
        <v>8</v>
      </c>
      <c r="L16" s="7" t="s">
        <v>11</v>
      </c>
      <c r="M16" s="7">
        <v>10</v>
      </c>
      <c r="N16" s="7">
        <v>3</v>
      </c>
      <c r="O16" s="7">
        <v>2</v>
      </c>
      <c r="P16" s="7">
        <v>5</v>
      </c>
      <c r="Q16" s="7">
        <v>23</v>
      </c>
      <c r="R16" s="7">
        <v>37</v>
      </c>
      <c r="S16" s="31">
        <f t="shared" si="8"/>
        <v>8</v>
      </c>
    </row>
    <row r="17" spans="3:19" x14ac:dyDescent="0.25">
      <c r="C17" s="7" t="s">
        <v>163</v>
      </c>
      <c r="D17" s="28">
        <v>9</v>
      </c>
      <c r="E17" s="28">
        <v>2</v>
      </c>
      <c r="F17" s="28">
        <v>1</v>
      </c>
      <c r="G17" s="28">
        <v>6</v>
      </c>
      <c r="H17" s="28">
        <v>19</v>
      </c>
      <c r="I17" s="28">
        <v>35</v>
      </c>
      <c r="J17" s="31">
        <f t="shared" ref="J17" si="9">+(E17*2)+(F17*1)+(G17*0)</f>
        <v>5</v>
      </c>
      <c r="L17" s="7" t="s">
        <v>193</v>
      </c>
      <c r="M17" s="7">
        <v>10</v>
      </c>
      <c r="N17" s="7">
        <v>1</v>
      </c>
      <c r="O17" s="7">
        <v>4</v>
      </c>
      <c r="P17" s="7">
        <v>5</v>
      </c>
      <c r="Q17" s="7">
        <v>19</v>
      </c>
      <c r="R17" s="7">
        <v>41</v>
      </c>
      <c r="S17" s="31">
        <f t="shared" ref="S17" si="10">+(N17*2)+(O17*1)+(P17*0)</f>
        <v>6</v>
      </c>
    </row>
    <row r="18" spans="3:19" x14ac:dyDescent="0.25">
      <c r="C18" s="7" t="s">
        <v>12</v>
      </c>
      <c r="D18" s="7">
        <v>9</v>
      </c>
      <c r="E18" s="7">
        <v>0</v>
      </c>
      <c r="F18" s="7">
        <v>3</v>
      </c>
      <c r="G18" s="7">
        <v>6</v>
      </c>
      <c r="H18" s="7">
        <v>16</v>
      </c>
      <c r="I18" s="7">
        <v>38</v>
      </c>
      <c r="J18" s="31">
        <f t="shared" ref="J18" si="11">+(E18*2)+(F18*1)+(G18*0)</f>
        <v>3</v>
      </c>
      <c r="L18" s="35" t="s">
        <v>196</v>
      </c>
    </row>
    <row r="19" spans="3:19" x14ac:dyDescent="0.25">
      <c r="C19" s="35" t="s">
        <v>194</v>
      </c>
    </row>
    <row r="20" spans="3:19" x14ac:dyDescent="0.25">
      <c r="C20" s="35" t="s">
        <v>200</v>
      </c>
    </row>
    <row r="27" spans="3:19" x14ac:dyDescent="0.25">
      <c r="C27" s="3"/>
      <c r="D27" s="3"/>
      <c r="E27" s="3"/>
      <c r="F27" s="3"/>
      <c r="G27" s="3"/>
      <c r="H27" s="3"/>
      <c r="I27" s="3"/>
      <c r="J27" s="3"/>
    </row>
    <row r="28" spans="3:19" x14ac:dyDescent="0.25">
      <c r="C28" s="3"/>
      <c r="D28" s="3"/>
      <c r="E28" s="3"/>
      <c r="F28" s="3"/>
      <c r="G28" s="3"/>
      <c r="H28" s="3"/>
      <c r="I28" s="3"/>
      <c r="J28" s="3"/>
    </row>
    <row r="29" spans="3:19" x14ac:dyDescent="0.25">
      <c r="C29" s="3"/>
      <c r="D29" s="3"/>
      <c r="E29" s="3"/>
      <c r="F29" s="3"/>
      <c r="G29" s="3"/>
      <c r="H29" s="3"/>
      <c r="I29" s="3"/>
      <c r="J29" s="3"/>
    </row>
  </sheetData>
  <mergeCells count="1">
    <mergeCell ref="C2:E2"/>
  </mergeCells>
  <printOptions horizontalCentered="1"/>
  <pageMargins left="0.23622047244094502" right="0.23622047244094502" top="0.74803149606299202" bottom="0.74803149606299202" header="0.31496062992126" footer="0.31496062992126"/>
  <pageSetup paperSize="9" scale="86" fitToHeight="0" orientation="landscape" cellComments="atEnd" r:id="rId1"/>
  <colBreaks count="1" manualBreakCount="1">
    <brk id="1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4EC2-9435-4B3F-BE99-AB1EAA7C6E39}">
  <sheetPr>
    <pageSetUpPr fitToPage="1"/>
  </sheetPr>
  <dimension ref="A1:L223"/>
  <sheetViews>
    <sheetView zoomScaleNormal="100" workbookViewId="0">
      <pane ySplit="4" topLeftCell="A196" activePane="bottomLeft" state="frozen"/>
      <selection pane="bottomLeft" activeCell="C256" sqref="C256"/>
    </sheetView>
  </sheetViews>
  <sheetFormatPr defaultRowHeight="15" x14ac:dyDescent="0.25"/>
  <cols>
    <col min="1" max="1" width="13.85546875" bestFit="1" customWidth="1"/>
    <col min="3" max="3" width="21.42578125" bestFit="1" customWidth="1"/>
    <col min="4" max="4" width="8.5703125" bestFit="1" customWidth="1"/>
    <col min="5" max="5" width="13.140625" bestFit="1" customWidth="1"/>
    <col min="12" max="12" width="13.140625" bestFit="1" customWidth="1"/>
  </cols>
  <sheetData>
    <row r="1" spans="1:12" x14ac:dyDescent="0.25">
      <c r="A1" s="33" t="s">
        <v>150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5" spans="1:12" x14ac:dyDescent="0.25">
      <c r="A5" t="s">
        <v>24</v>
      </c>
      <c r="B5" s="12">
        <v>45567</v>
      </c>
      <c r="C5" t="s">
        <v>45</v>
      </c>
      <c r="D5" s="14">
        <v>-6</v>
      </c>
      <c r="E5" t="s">
        <v>53</v>
      </c>
      <c r="F5">
        <v>3</v>
      </c>
      <c r="G5">
        <v>3</v>
      </c>
      <c r="H5">
        <v>6</v>
      </c>
      <c r="I5">
        <v>6</v>
      </c>
      <c r="J5">
        <f>21+21+0+21+21+0+21+21+0</f>
        <v>126</v>
      </c>
      <c r="K5">
        <f>11+19+0+15+18+0+13+12+0</f>
        <v>88</v>
      </c>
      <c r="L5" t="s">
        <v>54</v>
      </c>
    </row>
    <row r="6" spans="1:12" x14ac:dyDescent="0.25">
      <c r="A6" t="s">
        <v>24</v>
      </c>
      <c r="B6" s="12">
        <v>45567</v>
      </c>
      <c r="C6" t="s">
        <v>46</v>
      </c>
      <c r="D6" s="14">
        <v>-2</v>
      </c>
      <c r="E6" t="s">
        <v>53</v>
      </c>
      <c r="F6">
        <v>3</v>
      </c>
      <c r="G6">
        <v>3</v>
      </c>
      <c r="H6">
        <v>7</v>
      </c>
      <c r="I6">
        <v>6</v>
      </c>
      <c r="J6">
        <f>42+57+42</f>
        <v>141</v>
      </c>
      <c r="K6">
        <f>30+57+35</f>
        <v>122</v>
      </c>
      <c r="L6" t="s">
        <v>54</v>
      </c>
    </row>
    <row r="7" spans="1:12" x14ac:dyDescent="0.25">
      <c r="A7" t="s">
        <v>24</v>
      </c>
      <c r="B7" s="12">
        <v>45567</v>
      </c>
      <c r="C7" t="s">
        <v>47</v>
      </c>
      <c r="D7" s="14">
        <v>-6</v>
      </c>
      <c r="E7" t="s">
        <v>53</v>
      </c>
      <c r="F7">
        <v>3</v>
      </c>
      <c r="G7">
        <v>3</v>
      </c>
      <c r="H7">
        <v>7</v>
      </c>
      <c r="I7">
        <v>6</v>
      </c>
      <c r="J7">
        <f>60+42+42</f>
        <v>144</v>
      </c>
      <c r="K7">
        <f>56+33+35</f>
        <v>124</v>
      </c>
      <c r="L7" t="s">
        <v>54</v>
      </c>
    </row>
    <row r="8" spans="1:12" x14ac:dyDescent="0.25">
      <c r="A8" t="s">
        <v>24</v>
      </c>
      <c r="B8" s="12">
        <v>45567</v>
      </c>
      <c r="C8" t="s">
        <v>48</v>
      </c>
      <c r="D8" s="14">
        <v>-6</v>
      </c>
      <c r="E8" t="s">
        <v>53</v>
      </c>
      <c r="F8">
        <v>3</v>
      </c>
      <c r="G8">
        <v>3</v>
      </c>
      <c r="H8">
        <v>8</v>
      </c>
      <c r="I8">
        <v>6</v>
      </c>
      <c r="J8">
        <f>60+57+42</f>
        <v>159</v>
      </c>
      <c r="K8">
        <f>56+57+25</f>
        <v>138</v>
      </c>
      <c r="L8" t="s">
        <v>54</v>
      </c>
    </row>
    <row r="9" spans="1:12" x14ac:dyDescent="0.25">
      <c r="A9" t="s">
        <v>24</v>
      </c>
      <c r="B9" s="12">
        <v>45567</v>
      </c>
      <c r="C9" t="s">
        <v>49</v>
      </c>
      <c r="D9" s="14">
        <v>2</v>
      </c>
      <c r="E9" t="s">
        <v>54</v>
      </c>
      <c r="F9">
        <v>3</v>
      </c>
      <c r="G9">
        <v>0</v>
      </c>
      <c r="H9">
        <v>6</v>
      </c>
      <c r="I9">
        <v>0</v>
      </c>
      <c r="J9">
        <f>30+33+25</f>
        <v>88</v>
      </c>
      <c r="K9">
        <f>42+42+42</f>
        <v>126</v>
      </c>
      <c r="L9" t="s">
        <v>53</v>
      </c>
    </row>
    <row r="10" spans="1:12" x14ac:dyDescent="0.25">
      <c r="A10" t="s">
        <v>24</v>
      </c>
      <c r="B10" s="12">
        <v>45567</v>
      </c>
      <c r="C10" t="s">
        <v>50</v>
      </c>
      <c r="D10" s="14">
        <v>6</v>
      </c>
      <c r="E10" t="s">
        <v>54</v>
      </c>
      <c r="F10">
        <v>3</v>
      </c>
      <c r="G10">
        <v>0</v>
      </c>
      <c r="H10">
        <v>7</v>
      </c>
      <c r="I10">
        <v>1</v>
      </c>
      <c r="J10">
        <f>30+57+35</f>
        <v>122</v>
      </c>
      <c r="K10">
        <f>42+57+42</f>
        <v>141</v>
      </c>
      <c r="L10" t="s">
        <v>53</v>
      </c>
    </row>
    <row r="11" spans="1:12" x14ac:dyDescent="0.25">
      <c r="A11" t="s">
        <v>24</v>
      </c>
      <c r="B11" s="12">
        <v>45567</v>
      </c>
      <c r="C11" t="s">
        <v>51</v>
      </c>
      <c r="D11" s="14">
        <v>-4</v>
      </c>
      <c r="E11" t="s">
        <v>54</v>
      </c>
      <c r="F11">
        <v>3</v>
      </c>
      <c r="G11">
        <v>0</v>
      </c>
      <c r="H11">
        <v>7</v>
      </c>
      <c r="I11">
        <v>1</v>
      </c>
      <c r="J11">
        <f>56+33+35</f>
        <v>124</v>
      </c>
      <c r="K11">
        <f>60+42+42</f>
        <v>144</v>
      </c>
      <c r="L11" t="s">
        <v>53</v>
      </c>
    </row>
    <row r="12" spans="1:12" x14ac:dyDescent="0.25">
      <c r="A12" t="s">
        <v>24</v>
      </c>
      <c r="B12" s="12">
        <v>45567</v>
      </c>
      <c r="C12" t="s">
        <v>52</v>
      </c>
      <c r="D12" s="14">
        <v>8</v>
      </c>
      <c r="E12" t="s">
        <v>54</v>
      </c>
      <c r="F12">
        <v>3</v>
      </c>
      <c r="G12">
        <v>0</v>
      </c>
      <c r="H12">
        <v>8</v>
      </c>
      <c r="I12">
        <v>2</v>
      </c>
      <c r="J12">
        <f>56+57+25</f>
        <v>138</v>
      </c>
      <c r="K12">
        <f>60+57+42</f>
        <v>159</v>
      </c>
      <c r="L12" t="s">
        <v>53</v>
      </c>
    </row>
    <row r="13" spans="1:12" x14ac:dyDescent="0.25">
      <c r="A13" t="s">
        <v>24</v>
      </c>
      <c r="B13" s="12">
        <v>45568</v>
      </c>
      <c r="C13" t="s">
        <v>34</v>
      </c>
      <c r="D13" s="14">
        <v>-4</v>
      </c>
      <c r="E13" t="s">
        <v>10</v>
      </c>
      <c r="F13">
        <v>3</v>
      </c>
      <c r="G13">
        <v>1</v>
      </c>
      <c r="H13">
        <v>8</v>
      </c>
      <c r="I13">
        <v>3</v>
      </c>
      <c r="J13">
        <f>16+10+0+21+19+21+21+12+13</f>
        <v>133</v>
      </c>
      <c r="K13">
        <f>21+21+0+17+21+17+17+21+21</f>
        <v>156</v>
      </c>
      <c r="L13" t="s">
        <v>13</v>
      </c>
    </row>
    <row r="14" spans="1:12" x14ac:dyDescent="0.25">
      <c r="A14" t="s">
        <v>24</v>
      </c>
      <c r="B14" s="12">
        <v>45568</v>
      </c>
      <c r="C14" t="s">
        <v>36</v>
      </c>
      <c r="D14" s="14">
        <v>0</v>
      </c>
      <c r="E14" t="s">
        <v>10</v>
      </c>
      <c r="F14">
        <v>3</v>
      </c>
      <c r="G14">
        <v>2</v>
      </c>
      <c r="H14">
        <v>8</v>
      </c>
      <c r="I14">
        <v>4</v>
      </c>
      <c r="J14">
        <f>16+10+0+18+21+21+16+21+21</f>
        <v>144</v>
      </c>
      <c r="K14">
        <f>21+21+0+21+17+20+21+19+19</f>
        <v>159</v>
      </c>
      <c r="L14" t="s">
        <v>13</v>
      </c>
    </row>
    <row r="15" spans="1:12" x14ac:dyDescent="0.25">
      <c r="A15" t="s">
        <v>24</v>
      </c>
      <c r="B15" s="12">
        <v>45568</v>
      </c>
      <c r="C15" t="s">
        <v>37</v>
      </c>
      <c r="D15" s="14">
        <v>2</v>
      </c>
      <c r="E15" t="s">
        <v>10</v>
      </c>
      <c r="F15">
        <v>3</v>
      </c>
      <c r="G15">
        <v>2</v>
      </c>
      <c r="H15">
        <v>9</v>
      </c>
      <c r="I15">
        <v>5</v>
      </c>
      <c r="J15">
        <f>21+13+16+21+19+21+16+21+21</f>
        <v>169</v>
      </c>
      <c r="K15">
        <f>14+21+21+17+21+17+21+19+19</f>
        <v>170</v>
      </c>
      <c r="L15" t="s">
        <v>13</v>
      </c>
    </row>
    <row r="16" spans="1:12" x14ac:dyDescent="0.25">
      <c r="A16" t="s">
        <v>24</v>
      </c>
      <c r="B16" s="12">
        <v>45568</v>
      </c>
      <c r="C16" t="s">
        <v>38</v>
      </c>
      <c r="D16" s="14">
        <v>6</v>
      </c>
      <c r="E16" t="s">
        <v>10</v>
      </c>
      <c r="F16">
        <v>3</v>
      </c>
      <c r="G16">
        <v>1</v>
      </c>
      <c r="H16">
        <v>9</v>
      </c>
      <c r="I16">
        <v>4</v>
      </c>
      <c r="J16">
        <f>21+13+16+18+21+21+21+12+13</f>
        <v>156</v>
      </c>
      <c r="K16">
        <f>14+21+21+21+17+20+17+21+21</f>
        <v>173</v>
      </c>
      <c r="L16" t="s">
        <v>13</v>
      </c>
    </row>
    <row r="17" spans="1:12" x14ac:dyDescent="0.25">
      <c r="A17" t="s">
        <v>24</v>
      </c>
      <c r="B17" s="12">
        <v>45568</v>
      </c>
      <c r="C17" t="s">
        <v>39</v>
      </c>
      <c r="D17" s="14">
        <v>4</v>
      </c>
      <c r="E17" t="s">
        <v>13</v>
      </c>
      <c r="F17">
        <v>3</v>
      </c>
      <c r="G17">
        <v>2</v>
      </c>
      <c r="H17">
        <v>8</v>
      </c>
      <c r="I17">
        <v>5</v>
      </c>
      <c r="J17">
        <f>21+21+0+17+21+17+17+21+21</f>
        <v>156</v>
      </c>
      <c r="K17">
        <f>16+10+0+21+19+21+21+12+13</f>
        <v>133</v>
      </c>
      <c r="L17" t="s">
        <v>10</v>
      </c>
    </row>
    <row r="18" spans="1:12" x14ac:dyDescent="0.25">
      <c r="A18" t="s">
        <v>24</v>
      </c>
      <c r="B18" s="12">
        <v>45568</v>
      </c>
      <c r="C18" t="s">
        <v>40</v>
      </c>
      <c r="D18" s="14">
        <v>8</v>
      </c>
      <c r="E18" t="s">
        <v>13</v>
      </c>
      <c r="F18">
        <v>3</v>
      </c>
      <c r="G18">
        <v>1</v>
      </c>
      <c r="H18">
        <v>8</v>
      </c>
      <c r="I18">
        <v>4</v>
      </c>
      <c r="J18">
        <f>21+21+0+21+17+20+21+19+19</f>
        <v>159</v>
      </c>
      <c r="K18">
        <f>16+10+0+18+21+21+16+21+21</f>
        <v>144</v>
      </c>
      <c r="L18" t="s">
        <v>10</v>
      </c>
    </row>
    <row r="19" spans="1:12" x14ac:dyDescent="0.25">
      <c r="A19" t="s">
        <v>24</v>
      </c>
      <c r="B19" s="12">
        <v>45568</v>
      </c>
      <c r="C19" t="s">
        <v>41</v>
      </c>
      <c r="D19" s="14">
        <v>4</v>
      </c>
      <c r="E19" t="s">
        <v>13</v>
      </c>
      <c r="F19">
        <v>3</v>
      </c>
      <c r="G19">
        <v>1</v>
      </c>
      <c r="H19">
        <v>9</v>
      </c>
      <c r="I19">
        <v>4</v>
      </c>
      <c r="J19">
        <f>14+21+21+17+21+17+21+19+19</f>
        <v>170</v>
      </c>
      <c r="K19">
        <f>21+13+16+21+19+21+16+21+21</f>
        <v>169</v>
      </c>
      <c r="L19" t="s">
        <v>10</v>
      </c>
    </row>
    <row r="20" spans="1:12" x14ac:dyDescent="0.25">
      <c r="A20" t="s">
        <v>24</v>
      </c>
      <c r="B20" s="12">
        <v>45568</v>
      </c>
      <c r="C20" t="s">
        <v>42</v>
      </c>
      <c r="D20" s="14">
        <v>8</v>
      </c>
      <c r="E20" t="s">
        <v>13</v>
      </c>
      <c r="F20">
        <v>3</v>
      </c>
      <c r="G20">
        <v>2</v>
      </c>
      <c r="H20">
        <v>9</v>
      </c>
      <c r="I20">
        <v>5</v>
      </c>
      <c r="J20">
        <f>14+21+21+21+17+20+17+21+21</f>
        <v>173</v>
      </c>
      <c r="K20">
        <f>21+13+16+18+21+21+21+12+13</f>
        <v>156</v>
      </c>
      <c r="L20" t="s">
        <v>10</v>
      </c>
    </row>
    <row r="21" spans="1:12" x14ac:dyDescent="0.25">
      <c r="A21" t="s">
        <v>24</v>
      </c>
      <c r="B21" s="12">
        <v>45576</v>
      </c>
      <c r="C21" t="s">
        <v>62</v>
      </c>
      <c r="D21" s="14">
        <v>2</v>
      </c>
      <c r="E21" t="s">
        <v>64</v>
      </c>
      <c r="F21">
        <v>3</v>
      </c>
      <c r="G21">
        <v>0</v>
      </c>
      <c r="H21">
        <v>7</v>
      </c>
      <c r="I21">
        <v>1</v>
      </c>
      <c r="J21">
        <f>57+23+26</f>
        <v>106</v>
      </c>
      <c r="K21">
        <f>62+42+42</f>
        <v>146</v>
      </c>
      <c r="L21" t="s">
        <v>53</v>
      </c>
    </row>
    <row r="22" spans="1:12" x14ac:dyDescent="0.25">
      <c r="A22" t="s">
        <v>24</v>
      </c>
      <c r="B22" s="12">
        <v>45576</v>
      </c>
      <c r="C22" t="s">
        <v>50</v>
      </c>
      <c r="D22" s="14">
        <v>6</v>
      </c>
      <c r="E22" t="s">
        <v>64</v>
      </c>
      <c r="F22">
        <v>3</v>
      </c>
      <c r="G22">
        <v>0</v>
      </c>
      <c r="H22">
        <v>7</v>
      </c>
      <c r="I22">
        <v>1</v>
      </c>
      <c r="J22">
        <f>57+26+32</f>
        <v>115</v>
      </c>
      <c r="K22">
        <f>62+42+42</f>
        <v>146</v>
      </c>
      <c r="L22" t="s">
        <v>53</v>
      </c>
    </row>
    <row r="23" spans="1:12" x14ac:dyDescent="0.25">
      <c r="A23" t="s">
        <v>24</v>
      </c>
      <c r="B23" s="12">
        <v>45576</v>
      </c>
      <c r="C23" t="s">
        <v>59</v>
      </c>
      <c r="D23" s="14">
        <v>6</v>
      </c>
      <c r="E23" t="s">
        <v>64</v>
      </c>
      <c r="F23">
        <v>3</v>
      </c>
      <c r="G23">
        <v>0</v>
      </c>
      <c r="H23">
        <v>6</v>
      </c>
      <c r="I23">
        <v>0</v>
      </c>
      <c r="J23">
        <f>35+23+32</f>
        <v>90</v>
      </c>
      <c r="K23">
        <f>42+42+42</f>
        <v>126</v>
      </c>
      <c r="L23" t="s">
        <v>53</v>
      </c>
    </row>
    <row r="24" spans="1:12" x14ac:dyDescent="0.25">
      <c r="A24" t="s">
        <v>24</v>
      </c>
      <c r="B24" s="12">
        <v>45576</v>
      </c>
      <c r="C24" t="s">
        <v>52</v>
      </c>
      <c r="D24" s="14">
        <v>8</v>
      </c>
      <c r="E24" t="s">
        <v>64</v>
      </c>
      <c r="F24">
        <v>3</v>
      </c>
      <c r="G24">
        <v>0</v>
      </c>
      <c r="H24">
        <v>6</v>
      </c>
      <c r="I24">
        <v>0</v>
      </c>
      <c r="J24">
        <f>35+26+26</f>
        <v>87</v>
      </c>
      <c r="K24">
        <f>42+42+42</f>
        <v>126</v>
      </c>
      <c r="L24" t="s">
        <v>53</v>
      </c>
    </row>
    <row r="25" spans="1:12" x14ac:dyDescent="0.25">
      <c r="A25" t="s">
        <v>24</v>
      </c>
      <c r="B25" s="12">
        <v>45576</v>
      </c>
      <c r="C25" t="s">
        <v>45</v>
      </c>
      <c r="D25" s="14">
        <v>-6</v>
      </c>
      <c r="E25" t="s">
        <v>65</v>
      </c>
      <c r="F25">
        <v>3</v>
      </c>
      <c r="G25">
        <v>3</v>
      </c>
      <c r="H25">
        <v>7</v>
      </c>
      <c r="I25">
        <v>6</v>
      </c>
      <c r="J25">
        <f>62+42+42</f>
        <v>146</v>
      </c>
      <c r="K25">
        <f>57+23+26</f>
        <v>106</v>
      </c>
      <c r="L25" t="s">
        <v>54</v>
      </c>
    </row>
    <row r="26" spans="1:12" x14ac:dyDescent="0.25">
      <c r="A26" t="s">
        <v>24</v>
      </c>
      <c r="B26" s="12">
        <v>45576</v>
      </c>
      <c r="C26" t="s">
        <v>46</v>
      </c>
      <c r="D26" s="14">
        <v>-2</v>
      </c>
      <c r="E26" t="s">
        <v>65</v>
      </c>
      <c r="F26">
        <v>3</v>
      </c>
      <c r="G26">
        <v>3</v>
      </c>
      <c r="H26">
        <v>7</v>
      </c>
      <c r="I26">
        <v>6</v>
      </c>
      <c r="J26">
        <f>62+42+42</f>
        <v>146</v>
      </c>
      <c r="K26">
        <f>57+26+32</f>
        <v>115</v>
      </c>
      <c r="L26" t="s">
        <v>54</v>
      </c>
    </row>
    <row r="27" spans="1:12" x14ac:dyDescent="0.25">
      <c r="A27" t="s">
        <v>24</v>
      </c>
      <c r="B27" s="12">
        <v>45576</v>
      </c>
      <c r="C27" t="s">
        <v>48</v>
      </c>
      <c r="D27" s="14">
        <v>-6</v>
      </c>
      <c r="E27" t="s">
        <v>65</v>
      </c>
      <c r="F27">
        <v>3</v>
      </c>
      <c r="G27">
        <v>3</v>
      </c>
      <c r="H27">
        <v>6</v>
      </c>
      <c r="I27">
        <v>6</v>
      </c>
      <c r="J27">
        <f>42+42+42</f>
        <v>126</v>
      </c>
      <c r="K27">
        <f>35+23+32</f>
        <v>90</v>
      </c>
      <c r="L27" t="s">
        <v>54</v>
      </c>
    </row>
    <row r="28" spans="1:12" x14ac:dyDescent="0.25">
      <c r="A28" t="s">
        <v>24</v>
      </c>
      <c r="B28" s="12">
        <v>45576</v>
      </c>
      <c r="C28" t="s">
        <v>63</v>
      </c>
      <c r="D28" s="14">
        <v>-2</v>
      </c>
      <c r="E28" t="s">
        <v>65</v>
      </c>
      <c r="F28">
        <v>3</v>
      </c>
      <c r="G28">
        <v>3</v>
      </c>
      <c r="H28">
        <v>6</v>
      </c>
      <c r="I28">
        <v>6</v>
      </c>
      <c r="J28">
        <f>42+42+42</f>
        <v>126</v>
      </c>
      <c r="K28">
        <f>35+26+26</f>
        <v>87</v>
      </c>
      <c r="L28" t="s">
        <v>54</v>
      </c>
    </row>
    <row r="29" spans="1:12" x14ac:dyDescent="0.25">
      <c r="A29" t="s">
        <v>24</v>
      </c>
      <c r="B29" s="12">
        <v>45578</v>
      </c>
      <c r="C29" t="s">
        <v>67</v>
      </c>
      <c r="D29" s="14">
        <v>0</v>
      </c>
      <c r="E29" t="s">
        <v>18</v>
      </c>
      <c r="F29">
        <v>3</v>
      </c>
      <c r="G29">
        <v>2</v>
      </c>
      <c r="H29">
        <v>6</v>
      </c>
      <c r="I29">
        <v>4</v>
      </c>
      <c r="J29">
        <f>42+34+42</f>
        <v>118</v>
      </c>
      <c r="K29">
        <f>25+42+32</f>
        <v>99</v>
      </c>
      <c r="L29" t="s">
        <v>10</v>
      </c>
    </row>
    <row r="30" spans="1:12" x14ac:dyDescent="0.25">
      <c r="A30" t="s">
        <v>24</v>
      </c>
      <c r="B30" s="12">
        <v>45578</v>
      </c>
      <c r="C30" t="s">
        <v>68</v>
      </c>
      <c r="D30" s="14">
        <v>2</v>
      </c>
      <c r="E30" t="s">
        <v>18</v>
      </c>
      <c r="F30">
        <v>3</v>
      </c>
      <c r="G30">
        <v>3</v>
      </c>
      <c r="H30">
        <v>7</v>
      </c>
      <c r="I30">
        <v>6</v>
      </c>
      <c r="J30">
        <f>42+42+58</f>
        <v>142</v>
      </c>
      <c r="K30">
        <f>25+20+53</f>
        <v>98</v>
      </c>
      <c r="L30" t="s">
        <v>10</v>
      </c>
    </row>
    <row r="31" spans="1:12" x14ac:dyDescent="0.25">
      <c r="A31" t="s">
        <v>24</v>
      </c>
      <c r="B31" s="12">
        <v>45578</v>
      </c>
      <c r="C31" t="s">
        <v>69</v>
      </c>
      <c r="D31" s="14">
        <v>4</v>
      </c>
      <c r="E31" t="s">
        <v>18</v>
      </c>
      <c r="F31">
        <v>3</v>
      </c>
      <c r="G31">
        <v>2</v>
      </c>
      <c r="H31">
        <v>7</v>
      </c>
      <c r="I31">
        <v>4</v>
      </c>
      <c r="J31">
        <f>42+34+58</f>
        <v>134</v>
      </c>
      <c r="K31">
        <f>23+42+53</f>
        <v>118</v>
      </c>
      <c r="L31" t="s">
        <v>10</v>
      </c>
    </row>
    <row r="32" spans="1:12" x14ac:dyDescent="0.25">
      <c r="A32" t="s">
        <v>24</v>
      </c>
      <c r="B32" s="12">
        <v>45578</v>
      </c>
      <c r="C32" t="s">
        <v>70</v>
      </c>
      <c r="D32" s="14">
        <v>-6</v>
      </c>
      <c r="E32" t="s">
        <v>18</v>
      </c>
      <c r="F32">
        <v>3</v>
      </c>
      <c r="G32">
        <v>3</v>
      </c>
      <c r="H32">
        <v>6</v>
      </c>
      <c r="I32">
        <v>6</v>
      </c>
      <c r="J32">
        <f>42+42+42</f>
        <v>126</v>
      </c>
      <c r="K32">
        <f>23+20+32</f>
        <v>75</v>
      </c>
      <c r="L32" t="s">
        <v>10</v>
      </c>
    </row>
    <row r="33" spans="1:12" x14ac:dyDescent="0.25">
      <c r="A33" t="s">
        <v>24</v>
      </c>
      <c r="B33" s="12">
        <v>45578</v>
      </c>
      <c r="C33" t="s">
        <v>34</v>
      </c>
      <c r="D33" s="14">
        <v>-4</v>
      </c>
      <c r="E33" t="s">
        <v>10</v>
      </c>
      <c r="F33">
        <v>3</v>
      </c>
      <c r="G33">
        <v>1</v>
      </c>
      <c r="H33">
        <v>6</v>
      </c>
      <c r="I33">
        <v>2</v>
      </c>
      <c r="J33">
        <f>25+42+32</f>
        <v>99</v>
      </c>
      <c r="K33">
        <f>42+34+42</f>
        <v>118</v>
      </c>
      <c r="L33" t="s">
        <v>18</v>
      </c>
    </row>
    <row r="34" spans="1:12" x14ac:dyDescent="0.25">
      <c r="A34" t="s">
        <v>24</v>
      </c>
      <c r="B34" s="12">
        <v>45578</v>
      </c>
      <c r="C34" t="s">
        <v>36</v>
      </c>
      <c r="D34" s="14">
        <v>0</v>
      </c>
      <c r="E34" t="s">
        <v>10</v>
      </c>
      <c r="F34">
        <v>3</v>
      </c>
      <c r="G34">
        <v>0</v>
      </c>
      <c r="H34">
        <v>7</v>
      </c>
      <c r="I34">
        <v>1</v>
      </c>
      <c r="J34">
        <f>25+20+53</f>
        <v>98</v>
      </c>
      <c r="K34">
        <f>42+42+58</f>
        <v>142</v>
      </c>
      <c r="L34" t="s">
        <v>18</v>
      </c>
    </row>
    <row r="35" spans="1:12" x14ac:dyDescent="0.25">
      <c r="A35" t="s">
        <v>24</v>
      </c>
      <c r="B35" s="12">
        <v>45578</v>
      </c>
      <c r="C35" t="s">
        <v>71</v>
      </c>
      <c r="D35" s="14">
        <v>-2</v>
      </c>
      <c r="E35" t="s">
        <v>10</v>
      </c>
      <c r="F35">
        <v>3</v>
      </c>
      <c r="G35">
        <v>1</v>
      </c>
      <c r="H35">
        <v>7</v>
      </c>
      <c r="I35">
        <v>3</v>
      </c>
      <c r="J35">
        <f>23+42+53</f>
        <v>118</v>
      </c>
      <c r="K35">
        <f>42+34+58</f>
        <v>134</v>
      </c>
      <c r="L35" t="s">
        <v>18</v>
      </c>
    </row>
    <row r="36" spans="1:12" x14ac:dyDescent="0.25">
      <c r="A36" t="s">
        <v>24</v>
      </c>
      <c r="B36" s="12">
        <v>45578</v>
      </c>
      <c r="C36" t="s">
        <v>72</v>
      </c>
      <c r="D36" s="14">
        <v>0</v>
      </c>
      <c r="E36" t="s">
        <v>10</v>
      </c>
      <c r="F36">
        <v>3</v>
      </c>
      <c r="G36">
        <v>0</v>
      </c>
      <c r="H36">
        <v>6</v>
      </c>
      <c r="I36">
        <v>0</v>
      </c>
      <c r="J36">
        <f>23+20+32</f>
        <v>75</v>
      </c>
      <c r="K36">
        <f>42+42+42</f>
        <v>126</v>
      </c>
      <c r="L36" t="s">
        <v>18</v>
      </c>
    </row>
    <row r="37" spans="1:12" x14ac:dyDescent="0.25">
      <c r="A37" t="s">
        <v>24</v>
      </c>
      <c r="B37" s="12">
        <v>45583</v>
      </c>
      <c r="C37" t="s">
        <v>62</v>
      </c>
      <c r="D37" s="14">
        <v>2</v>
      </c>
      <c r="E37" t="s">
        <v>54</v>
      </c>
      <c r="F37">
        <v>3</v>
      </c>
      <c r="G37">
        <v>1</v>
      </c>
      <c r="H37">
        <v>9</v>
      </c>
      <c r="I37">
        <v>4</v>
      </c>
      <c r="J37">
        <f>53+40+45</f>
        <v>138</v>
      </c>
      <c r="K37">
        <f>52+57+59</f>
        <v>168</v>
      </c>
      <c r="L37" t="s">
        <v>12</v>
      </c>
    </row>
    <row r="38" spans="1:12" x14ac:dyDescent="0.25">
      <c r="A38" t="s">
        <v>24</v>
      </c>
      <c r="B38" s="12">
        <v>45583</v>
      </c>
      <c r="C38" t="s">
        <v>50</v>
      </c>
      <c r="D38" s="14">
        <v>6</v>
      </c>
      <c r="E38" t="s">
        <v>54</v>
      </c>
      <c r="F38">
        <v>3</v>
      </c>
      <c r="G38">
        <v>1</v>
      </c>
      <c r="H38">
        <v>8</v>
      </c>
      <c r="I38">
        <v>3</v>
      </c>
      <c r="J38">
        <f>53+46+32</f>
        <v>131</v>
      </c>
      <c r="K38">
        <f>52+61+42</f>
        <v>155</v>
      </c>
      <c r="L38" t="s">
        <v>12</v>
      </c>
    </row>
    <row r="39" spans="1:12" x14ac:dyDescent="0.25">
      <c r="A39" t="s">
        <v>24</v>
      </c>
      <c r="B39" s="12">
        <v>45583</v>
      </c>
      <c r="C39" t="s">
        <v>59</v>
      </c>
      <c r="D39" s="14">
        <v>6</v>
      </c>
      <c r="E39" t="s">
        <v>54</v>
      </c>
      <c r="F39">
        <v>3</v>
      </c>
      <c r="G39">
        <v>0</v>
      </c>
      <c r="H39">
        <v>8</v>
      </c>
      <c r="I39">
        <v>2</v>
      </c>
      <c r="J39">
        <f>53+40+32</f>
        <v>125</v>
      </c>
      <c r="K39">
        <f>62+57+42</f>
        <v>161</v>
      </c>
      <c r="L39" t="s">
        <v>12</v>
      </c>
    </row>
    <row r="40" spans="1:12" x14ac:dyDescent="0.25">
      <c r="A40" t="s">
        <v>24</v>
      </c>
      <c r="B40" s="12">
        <v>45583</v>
      </c>
      <c r="C40" t="s">
        <v>52</v>
      </c>
      <c r="D40" s="14">
        <v>8</v>
      </c>
      <c r="E40" t="s">
        <v>54</v>
      </c>
      <c r="F40">
        <v>3</v>
      </c>
      <c r="G40">
        <v>0</v>
      </c>
      <c r="H40">
        <v>9</v>
      </c>
      <c r="I40">
        <v>3</v>
      </c>
      <c r="J40">
        <f>53+46+45</f>
        <v>144</v>
      </c>
      <c r="K40">
        <f>62+61+59</f>
        <v>182</v>
      </c>
      <c r="L40" t="s">
        <v>12</v>
      </c>
    </row>
    <row r="41" spans="1:12" x14ac:dyDescent="0.25">
      <c r="A41" t="s">
        <v>24</v>
      </c>
      <c r="B41" s="12">
        <v>45583</v>
      </c>
      <c r="C41" t="s">
        <v>93</v>
      </c>
      <c r="D41" s="14">
        <v>10</v>
      </c>
      <c r="E41" t="s">
        <v>12</v>
      </c>
      <c r="F41">
        <v>3</v>
      </c>
      <c r="G41">
        <v>2</v>
      </c>
      <c r="H41">
        <v>9</v>
      </c>
      <c r="I41">
        <v>5</v>
      </c>
      <c r="J41">
        <f>52+57+59</f>
        <v>168</v>
      </c>
      <c r="K41">
        <f>53+40+45</f>
        <v>138</v>
      </c>
      <c r="L41" t="s">
        <v>54</v>
      </c>
    </row>
    <row r="42" spans="1:12" x14ac:dyDescent="0.25">
      <c r="A42" t="s">
        <v>24</v>
      </c>
      <c r="B42" s="12">
        <v>45583</v>
      </c>
      <c r="C42" t="s">
        <v>94</v>
      </c>
      <c r="D42" s="14">
        <v>12</v>
      </c>
      <c r="E42" t="s">
        <v>12</v>
      </c>
      <c r="F42">
        <v>3</v>
      </c>
      <c r="G42">
        <v>2</v>
      </c>
      <c r="H42">
        <v>8</v>
      </c>
      <c r="I42">
        <v>5</v>
      </c>
      <c r="J42">
        <f>52+61+42</f>
        <v>155</v>
      </c>
      <c r="K42">
        <f>53+46+32</f>
        <v>131</v>
      </c>
      <c r="L42" t="s">
        <v>54</v>
      </c>
    </row>
    <row r="43" spans="1:12" x14ac:dyDescent="0.25">
      <c r="A43" t="s">
        <v>24</v>
      </c>
      <c r="B43" s="12">
        <v>45583</v>
      </c>
      <c r="C43" t="s">
        <v>95</v>
      </c>
      <c r="D43" s="14">
        <v>6</v>
      </c>
      <c r="E43" t="s">
        <v>12</v>
      </c>
      <c r="F43">
        <v>3</v>
      </c>
      <c r="G43">
        <v>3</v>
      </c>
      <c r="H43">
        <v>8</v>
      </c>
      <c r="I43">
        <v>6</v>
      </c>
      <c r="J43">
        <f>62+57+42</f>
        <v>161</v>
      </c>
      <c r="K43">
        <f>53+40+32</f>
        <v>125</v>
      </c>
      <c r="L43" t="s">
        <v>54</v>
      </c>
    </row>
    <row r="44" spans="1:12" x14ac:dyDescent="0.25">
      <c r="A44" t="s">
        <v>24</v>
      </c>
      <c r="B44" s="12">
        <v>45583</v>
      </c>
      <c r="C44" t="s">
        <v>96</v>
      </c>
      <c r="D44" s="14">
        <v>14</v>
      </c>
      <c r="E44" t="s">
        <v>12</v>
      </c>
      <c r="F44">
        <v>3</v>
      </c>
      <c r="G44">
        <v>3</v>
      </c>
      <c r="H44">
        <v>9</v>
      </c>
      <c r="I44">
        <v>6</v>
      </c>
      <c r="J44">
        <f>62+61+59</f>
        <v>182</v>
      </c>
      <c r="K44">
        <f>53+46+45</f>
        <v>144</v>
      </c>
      <c r="L44" t="s">
        <v>54</v>
      </c>
    </row>
    <row r="45" spans="1:12" x14ac:dyDescent="0.25">
      <c r="A45" t="s">
        <v>24</v>
      </c>
      <c r="B45" s="12">
        <v>45586</v>
      </c>
      <c r="C45" t="s">
        <v>105</v>
      </c>
      <c r="D45" s="14">
        <v>2</v>
      </c>
      <c r="E45" t="s">
        <v>18</v>
      </c>
      <c r="F45">
        <v>3</v>
      </c>
      <c r="G45">
        <v>2</v>
      </c>
      <c r="H45">
        <v>8</v>
      </c>
      <c r="I45">
        <v>5</v>
      </c>
      <c r="J45">
        <f>59+42+61</f>
        <v>162</v>
      </c>
      <c r="K45">
        <f>56+25+62</f>
        <v>143</v>
      </c>
      <c r="L45" t="s">
        <v>13</v>
      </c>
    </row>
    <row r="46" spans="1:12" x14ac:dyDescent="0.25">
      <c r="A46" t="s">
        <v>24</v>
      </c>
      <c r="B46" s="12">
        <v>45586</v>
      </c>
      <c r="C46" t="s">
        <v>68</v>
      </c>
      <c r="D46" s="14">
        <v>2</v>
      </c>
      <c r="E46" t="s">
        <v>18</v>
      </c>
      <c r="F46">
        <v>3</v>
      </c>
      <c r="G46">
        <v>2</v>
      </c>
      <c r="H46">
        <v>9</v>
      </c>
      <c r="I46">
        <v>5</v>
      </c>
      <c r="J46">
        <f>59+54+53</f>
        <v>166</v>
      </c>
      <c r="K46">
        <f>56+58+43</f>
        <v>157</v>
      </c>
      <c r="L46" t="s">
        <v>13</v>
      </c>
    </row>
    <row r="47" spans="1:12" x14ac:dyDescent="0.25">
      <c r="A47" t="s">
        <v>24</v>
      </c>
      <c r="B47" s="12">
        <v>45586</v>
      </c>
      <c r="C47" t="s">
        <v>103</v>
      </c>
      <c r="D47" s="14">
        <v>2</v>
      </c>
      <c r="E47" t="s">
        <v>18</v>
      </c>
      <c r="F47">
        <v>3</v>
      </c>
      <c r="G47">
        <v>3</v>
      </c>
      <c r="H47">
        <v>7</v>
      </c>
      <c r="I47">
        <v>6</v>
      </c>
      <c r="J47">
        <f>42+42+53</f>
        <v>137</v>
      </c>
      <c r="K47">
        <f>36+25+43</f>
        <v>104</v>
      </c>
      <c r="L47" t="s">
        <v>13</v>
      </c>
    </row>
    <row r="48" spans="1:12" x14ac:dyDescent="0.25">
      <c r="A48" t="s">
        <v>24</v>
      </c>
      <c r="B48" s="12">
        <v>45586</v>
      </c>
      <c r="C48" t="s">
        <v>69</v>
      </c>
      <c r="D48" s="14">
        <v>4</v>
      </c>
      <c r="E48" t="s">
        <v>18</v>
      </c>
      <c r="F48">
        <v>3</v>
      </c>
      <c r="G48">
        <v>1</v>
      </c>
      <c r="H48">
        <v>8</v>
      </c>
      <c r="I48">
        <v>4</v>
      </c>
      <c r="J48">
        <f>42+54+61</f>
        <v>157</v>
      </c>
      <c r="K48">
        <f>36+58+62</f>
        <v>156</v>
      </c>
      <c r="L48" t="s">
        <v>13</v>
      </c>
    </row>
    <row r="49" spans="1:12" x14ac:dyDescent="0.25">
      <c r="A49" t="s">
        <v>24</v>
      </c>
      <c r="B49" s="12">
        <v>45586</v>
      </c>
      <c r="C49" t="s">
        <v>106</v>
      </c>
      <c r="D49" s="14">
        <v>0</v>
      </c>
      <c r="E49" t="s">
        <v>13</v>
      </c>
      <c r="F49">
        <v>3</v>
      </c>
      <c r="G49">
        <v>1</v>
      </c>
      <c r="H49">
        <v>8</v>
      </c>
      <c r="I49">
        <v>3</v>
      </c>
      <c r="J49">
        <f>56+25+62</f>
        <v>143</v>
      </c>
      <c r="K49">
        <f>59+42+61</f>
        <v>162</v>
      </c>
      <c r="L49" t="s">
        <v>18</v>
      </c>
    </row>
    <row r="50" spans="1:12" x14ac:dyDescent="0.25">
      <c r="A50" t="s">
        <v>24</v>
      </c>
      <c r="B50" s="12">
        <v>45586</v>
      </c>
      <c r="C50" t="s">
        <v>39</v>
      </c>
      <c r="D50" s="14">
        <v>4</v>
      </c>
      <c r="E50" t="s">
        <v>13</v>
      </c>
      <c r="F50">
        <v>3</v>
      </c>
      <c r="G50">
        <v>1</v>
      </c>
      <c r="H50">
        <v>9</v>
      </c>
      <c r="I50">
        <v>4</v>
      </c>
      <c r="J50">
        <f>56+58+43</f>
        <v>157</v>
      </c>
      <c r="K50">
        <f>59+54+53</f>
        <v>166</v>
      </c>
      <c r="L50" t="s">
        <v>18</v>
      </c>
    </row>
    <row r="51" spans="1:12" x14ac:dyDescent="0.25">
      <c r="A51" t="s">
        <v>24</v>
      </c>
      <c r="B51" s="12">
        <v>45586</v>
      </c>
      <c r="C51" t="s">
        <v>107</v>
      </c>
      <c r="D51" s="14">
        <v>6</v>
      </c>
      <c r="E51" t="s">
        <v>13</v>
      </c>
      <c r="F51">
        <v>3</v>
      </c>
      <c r="G51">
        <v>0</v>
      </c>
      <c r="H51">
        <v>7</v>
      </c>
      <c r="I51">
        <v>1</v>
      </c>
      <c r="J51">
        <f>36+25+43</f>
        <v>104</v>
      </c>
      <c r="K51">
        <f>42+42+53</f>
        <v>137</v>
      </c>
      <c r="L51" t="s">
        <v>18</v>
      </c>
    </row>
    <row r="52" spans="1:12" x14ac:dyDescent="0.25">
      <c r="A52" t="s">
        <v>24</v>
      </c>
      <c r="B52" s="12">
        <v>45586</v>
      </c>
      <c r="C52" t="s">
        <v>108</v>
      </c>
      <c r="D52" s="14">
        <v>6</v>
      </c>
      <c r="E52" t="s">
        <v>13</v>
      </c>
      <c r="F52">
        <v>3</v>
      </c>
      <c r="G52">
        <v>2</v>
      </c>
      <c r="H52">
        <v>8</v>
      </c>
      <c r="I52">
        <v>4</v>
      </c>
      <c r="J52">
        <f>36+58+62</f>
        <v>156</v>
      </c>
      <c r="K52">
        <f>42+54+61</f>
        <v>157</v>
      </c>
      <c r="L52" t="s">
        <v>18</v>
      </c>
    </row>
    <row r="53" spans="1:12" x14ac:dyDescent="0.25">
      <c r="A53" t="s">
        <v>24</v>
      </c>
      <c r="B53" s="12">
        <v>45589</v>
      </c>
      <c r="C53" t="s">
        <v>34</v>
      </c>
      <c r="D53" s="14">
        <v>-4</v>
      </c>
      <c r="E53" t="s">
        <v>10</v>
      </c>
      <c r="F53">
        <v>3</v>
      </c>
      <c r="G53">
        <v>3</v>
      </c>
      <c r="H53">
        <v>7</v>
      </c>
      <c r="I53">
        <v>6</v>
      </c>
      <c r="J53">
        <f>42+42+55</f>
        <v>139</v>
      </c>
      <c r="K53">
        <f>31+31+58</f>
        <v>120</v>
      </c>
      <c r="L53" t="s">
        <v>54</v>
      </c>
    </row>
    <row r="54" spans="1:12" x14ac:dyDescent="0.25">
      <c r="A54" t="s">
        <v>24</v>
      </c>
      <c r="B54" s="12">
        <v>45589</v>
      </c>
      <c r="C54" t="s">
        <v>36</v>
      </c>
      <c r="D54" s="14">
        <v>0</v>
      </c>
      <c r="E54" t="s">
        <v>10</v>
      </c>
      <c r="F54">
        <v>3</v>
      </c>
      <c r="G54">
        <v>1</v>
      </c>
      <c r="H54">
        <v>7</v>
      </c>
      <c r="I54">
        <v>3</v>
      </c>
      <c r="J54">
        <f>42+55+34</f>
        <v>131</v>
      </c>
      <c r="K54">
        <f>31+60+42</f>
        <v>133</v>
      </c>
      <c r="L54" t="s">
        <v>54</v>
      </c>
    </row>
    <row r="55" spans="1:12" x14ac:dyDescent="0.25">
      <c r="A55" t="s">
        <v>24</v>
      </c>
      <c r="B55" s="12">
        <v>45589</v>
      </c>
      <c r="C55" t="s">
        <v>71</v>
      </c>
      <c r="D55" s="14">
        <v>-2</v>
      </c>
      <c r="E55" t="s">
        <v>10</v>
      </c>
      <c r="F55">
        <v>3</v>
      </c>
      <c r="G55">
        <v>1</v>
      </c>
      <c r="H55">
        <v>6</v>
      </c>
      <c r="I55">
        <v>2</v>
      </c>
      <c r="J55">
        <f>35+42+34</f>
        <v>111</v>
      </c>
      <c r="K55">
        <f>42+31+42</f>
        <v>115</v>
      </c>
      <c r="L55" t="s">
        <v>54</v>
      </c>
    </row>
    <row r="56" spans="1:12" x14ac:dyDescent="0.25">
      <c r="A56" t="s">
        <v>24</v>
      </c>
      <c r="B56" s="12">
        <v>45589</v>
      </c>
      <c r="C56" t="s">
        <v>117</v>
      </c>
      <c r="D56" s="14">
        <v>2</v>
      </c>
      <c r="E56" t="s">
        <v>10</v>
      </c>
      <c r="F56">
        <v>3</v>
      </c>
      <c r="G56">
        <v>1</v>
      </c>
      <c r="H56">
        <v>8</v>
      </c>
      <c r="I56">
        <v>3</v>
      </c>
      <c r="J56">
        <f>35+55+55</f>
        <v>145</v>
      </c>
      <c r="K56">
        <f>42+60+58</f>
        <v>160</v>
      </c>
      <c r="L56" t="s">
        <v>54</v>
      </c>
    </row>
    <row r="57" spans="1:12" x14ac:dyDescent="0.25">
      <c r="A57" t="s">
        <v>24</v>
      </c>
      <c r="B57" s="12">
        <v>45589</v>
      </c>
      <c r="C57" t="s">
        <v>118</v>
      </c>
      <c r="D57" s="14">
        <v>0</v>
      </c>
      <c r="E57" t="s">
        <v>54</v>
      </c>
      <c r="F57">
        <v>3</v>
      </c>
      <c r="G57">
        <v>0</v>
      </c>
      <c r="H57">
        <v>7</v>
      </c>
      <c r="I57">
        <v>1</v>
      </c>
      <c r="J57">
        <f>31+31+58</f>
        <v>120</v>
      </c>
      <c r="K57">
        <f>42+42+55</f>
        <v>139</v>
      </c>
      <c r="L57" t="s">
        <v>10</v>
      </c>
    </row>
    <row r="58" spans="1:12" x14ac:dyDescent="0.25">
      <c r="A58" t="s">
        <v>24</v>
      </c>
      <c r="B58" s="12">
        <v>45589</v>
      </c>
      <c r="C58" t="s">
        <v>49</v>
      </c>
      <c r="D58" s="14">
        <v>2</v>
      </c>
      <c r="E58" t="s">
        <v>54</v>
      </c>
      <c r="F58">
        <v>3</v>
      </c>
      <c r="G58">
        <v>2</v>
      </c>
      <c r="H58">
        <v>7</v>
      </c>
      <c r="I58">
        <v>4</v>
      </c>
      <c r="J58">
        <f>31+60+42</f>
        <v>133</v>
      </c>
      <c r="K58">
        <f>42+55+34</f>
        <v>131</v>
      </c>
      <c r="L58" t="s">
        <v>10</v>
      </c>
    </row>
    <row r="59" spans="1:12" x14ac:dyDescent="0.25">
      <c r="A59" t="s">
        <v>24</v>
      </c>
      <c r="B59" s="12">
        <v>45589</v>
      </c>
      <c r="C59" t="s">
        <v>116</v>
      </c>
      <c r="D59" s="14">
        <v>-4</v>
      </c>
      <c r="E59" t="s">
        <v>54</v>
      </c>
      <c r="F59">
        <v>3</v>
      </c>
      <c r="G59">
        <v>2</v>
      </c>
      <c r="H59">
        <v>6</v>
      </c>
      <c r="I59">
        <v>4</v>
      </c>
      <c r="J59">
        <f>42+31+42</f>
        <v>115</v>
      </c>
      <c r="K59">
        <f>35+42+34</f>
        <v>111</v>
      </c>
      <c r="L59" t="s">
        <v>10</v>
      </c>
    </row>
    <row r="60" spans="1:12" x14ac:dyDescent="0.25">
      <c r="A60" t="s">
        <v>24</v>
      </c>
      <c r="B60" s="12">
        <v>45589</v>
      </c>
      <c r="C60" t="s">
        <v>52</v>
      </c>
      <c r="D60" s="14">
        <v>8</v>
      </c>
      <c r="E60" t="s">
        <v>54</v>
      </c>
      <c r="F60">
        <v>3</v>
      </c>
      <c r="G60">
        <v>2</v>
      </c>
      <c r="H60">
        <v>8</v>
      </c>
      <c r="I60">
        <v>5</v>
      </c>
      <c r="J60">
        <f>42+60+58</f>
        <v>160</v>
      </c>
      <c r="K60">
        <f>35+55+55</f>
        <v>145</v>
      </c>
      <c r="L60" t="s">
        <v>10</v>
      </c>
    </row>
    <row r="61" spans="1:12" x14ac:dyDescent="0.25">
      <c r="A61" t="s">
        <v>24</v>
      </c>
      <c r="B61" s="12">
        <v>45610</v>
      </c>
      <c r="C61" t="s">
        <v>34</v>
      </c>
      <c r="D61" s="14">
        <v>-4</v>
      </c>
      <c r="E61" t="s">
        <v>10</v>
      </c>
      <c r="F61">
        <v>3</v>
      </c>
      <c r="G61">
        <v>1</v>
      </c>
      <c r="H61">
        <v>8</v>
      </c>
      <c r="I61">
        <v>3</v>
      </c>
      <c r="J61">
        <f>15+46+58</f>
        <v>119</v>
      </c>
      <c r="K61">
        <f>42+56+48</f>
        <v>146</v>
      </c>
      <c r="L61" t="s">
        <v>53</v>
      </c>
    </row>
    <row r="62" spans="1:12" x14ac:dyDescent="0.25">
      <c r="A62" t="s">
        <v>24</v>
      </c>
      <c r="B62" s="12">
        <v>45610</v>
      </c>
      <c r="C62" t="s">
        <v>36</v>
      </c>
      <c r="D62" s="14">
        <v>0</v>
      </c>
      <c r="E62" t="s">
        <v>10</v>
      </c>
      <c r="F62">
        <v>3</v>
      </c>
      <c r="G62">
        <v>1</v>
      </c>
      <c r="H62">
        <v>7</v>
      </c>
      <c r="I62">
        <v>2</v>
      </c>
      <c r="J62">
        <f>15+59+38</f>
        <v>112</v>
      </c>
      <c r="K62">
        <f>42+49+42</f>
        <v>133</v>
      </c>
      <c r="L62" t="s">
        <v>53</v>
      </c>
    </row>
    <row r="63" spans="1:12" x14ac:dyDescent="0.25">
      <c r="A63" t="s">
        <v>24</v>
      </c>
      <c r="B63" s="12">
        <v>45610</v>
      </c>
      <c r="C63" t="s">
        <v>71</v>
      </c>
      <c r="D63" s="14">
        <v>-2</v>
      </c>
      <c r="E63" t="s">
        <v>10</v>
      </c>
      <c r="F63">
        <v>3</v>
      </c>
      <c r="G63">
        <v>1</v>
      </c>
      <c r="H63">
        <v>7</v>
      </c>
      <c r="I63">
        <v>3</v>
      </c>
      <c r="J63">
        <f>42+46+38</f>
        <v>126</v>
      </c>
      <c r="K63">
        <f>31+56+42</f>
        <v>129</v>
      </c>
      <c r="L63" t="s">
        <v>53</v>
      </c>
    </row>
    <row r="64" spans="1:12" x14ac:dyDescent="0.25">
      <c r="A64" t="s">
        <v>24</v>
      </c>
      <c r="B64" s="12">
        <v>45610</v>
      </c>
      <c r="C64" t="s">
        <v>58</v>
      </c>
      <c r="D64" s="14">
        <v>0</v>
      </c>
      <c r="E64" t="s">
        <v>10</v>
      </c>
      <c r="F64">
        <v>3</v>
      </c>
      <c r="G64">
        <v>3</v>
      </c>
      <c r="H64">
        <v>8</v>
      </c>
      <c r="I64">
        <v>6</v>
      </c>
      <c r="J64">
        <f>42+59+58</f>
        <v>159</v>
      </c>
      <c r="K64">
        <f>31+49+48</f>
        <v>128</v>
      </c>
      <c r="L64" t="s">
        <v>53</v>
      </c>
    </row>
    <row r="65" spans="1:12" x14ac:dyDescent="0.25">
      <c r="A65" t="s">
        <v>24</v>
      </c>
      <c r="B65" s="12">
        <v>45610</v>
      </c>
      <c r="C65" t="s">
        <v>45</v>
      </c>
      <c r="D65" s="14">
        <v>-6</v>
      </c>
      <c r="E65" t="s">
        <v>53</v>
      </c>
      <c r="F65">
        <v>3</v>
      </c>
      <c r="G65">
        <v>2</v>
      </c>
      <c r="H65">
        <v>8</v>
      </c>
      <c r="I65">
        <v>5</v>
      </c>
      <c r="J65">
        <f>42+56+48</f>
        <v>146</v>
      </c>
      <c r="K65">
        <f>15+46+58</f>
        <v>119</v>
      </c>
      <c r="L65" t="s">
        <v>10</v>
      </c>
    </row>
    <row r="66" spans="1:12" x14ac:dyDescent="0.25">
      <c r="A66" t="s">
        <v>24</v>
      </c>
      <c r="B66" s="12">
        <v>45610</v>
      </c>
      <c r="C66" t="s">
        <v>46</v>
      </c>
      <c r="D66" s="14">
        <v>-2</v>
      </c>
      <c r="E66" t="s">
        <v>53</v>
      </c>
      <c r="F66">
        <v>3</v>
      </c>
      <c r="G66">
        <v>2</v>
      </c>
      <c r="H66">
        <v>7</v>
      </c>
      <c r="I66">
        <v>5</v>
      </c>
      <c r="J66">
        <f>42+49+42</f>
        <v>133</v>
      </c>
      <c r="K66">
        <f>15+59+38</f>
        <v>112</v>
      </c>
      <c r="L66" t="s">
        <v>10</v>
      </c>
    </row>
    <row r="67" spans="1:12" x14ac:dyDescent="0.25">
      <c r="A67" t="s">
        <v>24</v>
      </c>
      <c r="B67" s="12">
        <v>45610</v>
      </c>
      <c r="C67" t="s">
        <v>47</v>
      </c>
      <c r="D67" s="14">
        <v>-6</v>
      </c>
      <c r="E67" t="s">
        <v>53</v>
      </c>
      <c r="F67">
        <v>3</v>
      </c>
      <c r="G67">
        <v>2</v>
      </c>
      <c r="H67">
        <v>7</v>
      </c>
      <c r="I67">
        <v>4</v>
      </c>
      <c r="J67">
        <f>31+56+42</f>
        <v>129</v>
      </c>
      <c r="K67">
        <f>42+46+38</f>
        <v>126</v>
      </c>
      <c r="L67" t="s">
        <v>10</v>
      </c>
    </row>
    <row r="68" spans="1:12" x14ac:dyDescent="0.25">
      <c r="A68" t="s">
        <v>24</v>
      </c>
      <c r="B68" s="12">
        <v>45610</v>
      </c>
      <c r="C68" t="s">
        <v>63</v>
      </c>
      <c r="D68" s="14">
        <v>-2</v>
      </c>
      <c r="E68" t="s">
        <v>53</v>
      </c>
      <c r="F68">
        <v>3</v>
      </c>
      <c r="G68">
        <v>0</v>
      </c>
      <c r="H68">
        <v>8</v>
      </c>
      <c r="I68">
        <v>2</v>
      </c>
      <c r="J68">
        <f>31+49+48</f>
        <v>128</v>
      </c>
      <c r="K68">
        <f>42+59+58</f>
        <v>159</v>
      </c>
      <c r="L68" t="s">
        <v>10</v>
      </c>
    </row>
    <row r="69" spans="1:12" x14ac:dyDescent="0.25">
      <c r="A69" t="s">
        <v>24</v>
      </c>
      <c r="B69" s="12">
        <v>45611</v>
      </c>
      <c r="C69" t="s">
        <v>132</v>
      </c>
      <c r="D69" s="14">
        <v>8</v>
      </c>
      <c r="E69" t="s">
        <v>12</v>
      </c>
      <c r="F69">
        <v>3</v>
      </c>
      <c r="G69">
        <v>2</v>
      </c>
      <c r="H69">
        <v>8</v>
      </c>
      <c r="I69">
        <v>5</v>
      </c>
      <c r="J69">
        <f>57+56+42</f>
        <v>155</v>
      </c>
      <c r="K69">
        <f>41+60+31</f>
        <v>132</v>
      </c>
      <c r="L69" t="s">
        <v>54</v>
      </c>
    </row>
    <row r="70" spans="1:12" x14ac:dyDescent="0.25">
      <c r="A70" t="s">
        <v>24</v>
      </c>
      <c r="B70" s="12">
        <v>45611</v>
      </c>
      <c r="C70" t="s">
        <v>93</v>
      </c>
      <c r="D70" s="14">
        <v>10</v>
      </c>
      <c r="E70" t="s">
        <v>12</v>
      </c>
      <c r="F70">
        <v>3</v>
      </c>
      <c r="G70">
        <v>3</v>
      </c>
      <c r="H70">
        <v>8</v>
      </c>
      <c r="I70">
        <v>6</v>
      </c>
      <c r="J70">
        <f>57+60+42</f>
        <v>159</v>
      </c>
      <c r="K70">
        <f>41+52+31</f>
        <v>124</v>
      </c>
      <c r="L70" t="s">
        <v>54</v>
      </c>
    </row>
    <row r="71" spans="1:12" x14ac:dyDescent="0.25">
      <c r="A71" t="s">
        <v>24</v>
      </c>
      <c r="B71" s="12">
        <v>45611</v>
      </c>
      <c r="C71" t="s">
        <v>112</v>
      </c>
      <c r="D71" s="14">
        <v>4</v>
      </c>
      <c r="E71" t="s">
        <v>12</v>
      </c>
      <c r="F71">
        <v>3</v>
      </c>
      <c r="G71">
        <v>1</v>
      </c>
      <c r="H71">
        <v>8</v>
      </c>
      <c r="I71">
        <v>4</v>
      </c>
      <c r="J71">
        <f>58+56+42</f>
        <v>156</v>
      </c>
      <c r="K71">
        <f>51+60+31</f>
        <v>142</v>
      </c>
      <c r="L71" t="s">
        <v>54</v>
      </c>
    </row>
    <row r="72" spans="1:12" x14ac:dyDescent="0.25">
      <c r="A72" t="s">
        <v>24</v>
      </c>
      <c r="B72" s="12">
        <v>45611</v>
      </c>
      <c r="C72" t="s">
        <v>121</v>
      </c>
      <c r="D72" s="14">
        <v>10</v>
      </c>
      <c r="E72" t="s">
        <v>12</v>
      </c>
      <c r="F72">
        <v>3</v>
      </c>
      <c r="G72">
        <v>2</v>
      </c>
      <c r="H72">
        <v>8</v>
      </c>
      <c r="I72">
        <v>5</v>
      </c>
      <c r="J72">
        <f>58+60+42</f>
        <v>160</v>
      </c>
      <c r="K72">
        <f>51+52+31</f>
        <v>134</v>
      </c>
      <c r="L72" t="s">
        <v>54</v>
      </c>
    </row>
    <row r="73" spans="1:12" x14ac:dyDescent="0.25">
      <c r="A73" t="s">
        <v>24</v>
      </c>
      <c r="B73" s="12">
        <v>45611</v>
      </c>
      <c r="C73" t="s">
        <v>49</v>
      </c>
      <c r="D73" s="14">
        <v>2</v>
      </c>
      <c r="E73" t="s">
        <v>54</v>
      </c>
      <c r="F73">
        <v>3</v>
      </c>
      <c r="G73">
        <v>1</v>
      </c>
      <c r="H73">
        <v>8</v>
      </c>
      <c r="I73">
        <v>3</v>
      </c>
      <c r="J73">
        <f>41+60+31</f>
        <v>132</v>
      </c>
      <c r="K73">
        <f>57+56+42</f>
        <v>155</v>
      </c>
      <c r="L73" t="s">
        <v>12</v>
      </c>
    </row>
    <row r="74" spans="1:12" x14ac:dyDescent="0.25">
      <c r="A74" t="s">
        <v>24</v>
      </c>
      <c r="B74" s="12">
        <v>45611</v>
      </c>
      <c r="C74" t="s">
        <v>62</v>
      </c>
      <c r="D74" s="14">
        <v>2</v>
      </c>
      <c r="E74" t="s">
        <v>54</v>
      </c>
      <c r="F74">
        <v>3</v>
      </c>
      <c r="G74">
        <v>0</v>
      </c>
      <c r="H74">
        <v>8</v>
      </c>
      <c r="I74">
        <v>2</v>
      </c>
      <c r="J74">
        <f>41+52+31</f>
        <v>124</v>
      </c>
      <c r="K74">
        <f>57+60+42</f>
        <v>159</v>
      </c>
      <c r="L74" t="s">
        <v>12</v>
      </c>
    </row>
    <row r="75" spans="1:12" x14ac:dyDescent="0.25">
      <c r="A75" t="s">
        <v>24</v>
      </c>
      <c r="B75" s="12">
        <v>45611</v>
      </c>
      <c r="C75" t="s">
        <v>116</v>
      </c>
      <c r="D75" s="14">
        <v>-4</v>
      </c>
      <c r="E75" t="s">
        <v>54</v>
      </c>
      <c r="F75">
        <v>3</v>
      </c>
      <c r="G75">
        <v>2</v>
      </c>
      <c r="H75">
        <v>8</v>
      </c>
      <c r="I75">
        <v>4</v>
      </c>
      <c r="J75">
        <f>51+60+31</f>
        <v>142</v>
      </c>
      <c r="K75">
        <f>58+56+42</f>
        <v>156</v>
      </c>
      <c r="L75" t="s">
        <v>12</v>
      </c>
    </row>
    <row r="76" spans="1:12" x14ac:dyDescent="0.25">
      <c r="A76" t="s">
        <v>24</v>
      </c>
      <c r="B76" s="12">
        <v>45611</v>
      </c>
      <c r="C76" t="s">
        <v>52</v>
      </c>
      <c r="D76" s="14">
        <v>8</v>
      </c>
      <c r="E76" t="s">
        <v>54</v>
      </c>
      <c r="F76">
        <v>3</v>
      </c>
      <c r="G76">
        <v>1</v>
      </c>
      <c r="H76">
        <v>8</v>
      </c>
      <c r="I76">
        <v>3</v>
      </c>
      <c r="J76">
        <f>51+52+31</f>
        <v>134</v>
      </c>
      <c r="K76">
        <f>58+60+42</f>
        <v>160</v>
      </c>
      <c r="L76" t="s">
        <v>12</v>
      </c>
    </row>
    <row r="77" spans="1:12" x14ac:dyDescent="0.25">
      <c r="A77" t="s">
        <v>24</v>
      </c>
      <c r="B77" s="12">
        <v>45616</v>
      </c>
      <c r="C77" t="s">
        <v>106</v>
      </c>
      <c r="D77" s="14">
        <v>0</v>
      </c>
      <c r="E77" t="s">
        <v>13</v>
      </c>
      <c r="F77">
        <v>3</v>
      </c>
      <c r="G77">
        <v>2</v>
      </c>
      <c r="H77">
        <v>7</v>
      </c>
      <c r="I77">
        <v>5</v>
      </c>
      <c r="J77">
        <f>42+59+42</f>
        <v>143</v>
      </c>
      <c r="K77">
        <f>33+62+23</f>
        <v>118</v>
      </c>
      <c r="L77" t="s">
        <v>54</v>
      </c>
    </row>
    <row r="78" spans="1:12" x14ac:dyDescent="0.25">
      <c r="A78" t="s">
        <v>24</v>
      </c>
      <c r="B78" s="12">
        <v>45616</v>
      </c>
      <c r="C78" t="s">
        <v>40</v>
      </c>
      <c r="D78" s="14">
        <v>8</v>
      </c>
      <c r="E78" t="s">
        <v>13</v>
      </c>
      <c r="F78">
        <v>3</v>
      </c>
      <c r="G78">
        <v>2</v>
      </c>
      <c r="H78">
        <v>6</v>
      </c>
      <c r="I78">
        <v>4</v>
      </c>
      <c r="J78">
        <f>42+42+36</f>
        <v>120</v>
      </c>
      <c r="K78">
        <f>33+35+42</f>
        <v>110</v>
      </c>
      <c r="L78" t="s">
        <v>54</v>
      </c>
    </row>
    <row r="79" spans="1:12" x14ac:dyDescent="0.25">
      <c r="A79" t="s">
        <v>24</v>
      </c>
      <c r="B79" s="12">
        <v>45616</v>
      </c>
      <c r="C79" t="s">
        <v>108</v>
      </c>
      <c r="D79" s="14">
        <v>6</v>
      </c>
      <c r="E79" t="s">
        <v>13</v>
      </c>
      <c r="F79">
        <v>3</v>
      </c>
      <c r="G79">
        <v>0</v>
      </c>
      <c r="H79">
        <v>8</v>
      </c>
      <c r="I79">
        <v>2</v>
      </c>
      <c r="J79">
        <f>55+59+36</f>
        <v>150</v>
      </c>
      <c r="K79">
        <f>57+62+42</f>
        <v>161</v>
      </c>
      <c r="L79" t="s">
        <v>54</v>
      </c>
    </row>
    <row r="80" spans="1:12" x14ac:dyDescent="0.25">
      <c r="A80" t="s">
        <v>24</v>
      </c>
      <c r="B80" s="12">
        <v>45616</v>
      </c>
      <c r="C80" t="s">
        <v>42</v>
      </c>
      <c r="D80" s="14">
        <v>8</v>
      </c>
      <c r="E80" t="s">
        <v>13</v>
      </c>
      <c r="F80">
        <v>3</v>
      </c>
      <c r="G80">
        <v>2</v>
      </c>
      <c r="H80">
        <v>7</v>
      </c>
      <c r="I80">
        <v>5</v>
      </c>
      <c r="J80">
        <f>55+42+42</f>
        <v>139</v>
      </c>
      <c r="K80">
        <f>57+35+23</f>
        <v>115</v>
      </c>
      <c r="L80" t="s">
        <v>54</v>
      </c>
    </row>
    <row r="81" spans="1:12" x14ac:dyDescent="0.25">
      <c r="A81" t="s">
        <v>24</v>
      </c>
      <c r="B81" s="12">
        <v>45616</v>
      </c>
      <c r="C81" t="s">
        <v>118</v>
      </c>
      <c r="D81" s="14">
        <v>0</v>
      </c>
      <c r="E81" t="s">
        <v>54</v>
      </c>
      <c r="F81">
        <v>3</v>
      </c>
      <c r="G81">
        <v>1</v>
      </c>
      <c r="H81">
        <v>7</v>
      </c>
      <c r="I81">
        <v>2</v>
      </c>
      <c r="J81">
        <f>33+62+23</f>
        <v>118</v>
      </c>
      <c r="K81">
        <f>42+59+42</f>
        <v>143</v>
      </c>
      <c r="L81" t="s">
        <v>13</v>
      </c>
    </row>
    <row r="82" spans="1:12" x14ac:dyDescent="0.25">
      <c r="A82" t="s">
        <v>24</v>
      </c>
      <c r="B82" s="12">
        <v>45616</v>
      </c>
      <c r="C82" t="s">
        <v>62</v>
      </c>
      <c r="D82" s="14">
        <v>2</v>
      </c>
      <c r="E82" t="s">
        <v>54</v>
      </c>
      <c r="F82">
        <v>3</v>
      </c>
      <c r="G82">
        <v>1</v>
      </c>
      <c r="H82">
        <v>6</v>
      </c>
      <c r="I82">
        <v>2</v>
      </c>
      <c r="J82">
        <f>33+35+42</f>
        <v>110</v>
      </c>
      <c r="K82">
        <f>42+42+36</f>
        <v>120</v>
      </c>
      <c r="L82" t="s">
        <v>13</v>
      </c>
    </row>
    <row r="83" spans="1:12" x14ac:dyDescent="0.25">
      <c r="A83" t="s">
        <v>24</v>
      </c>
      <c r="B83" s="12">
        <v>45616</v>
      </c>
      <c r="C83" t="s">
        <v>116</v>
      </c>
      <c r="D83" s="14">
        <v>-4</v>
      </c>
      <c r="E83" t="s">
        <v>54</v>
      </c>
      <c r="F83">
        <v>3</v>
      </c>
      <c r="G83">
        <v>3</v>
      </c>
      <c r="H83">
        <v>8</v>
      </c>
      <c r="I83">
        <v>6</v>
      </c>
      <c r="J83">
        <f>57+62+42</f>
        <v>161</v>
      </c>
      <c r="K83">
        <f>55+59+36</f>
        <v>150</v>
      </c>
      <c r="L83" t="s">
        <v>13</v>
      </c>
    </row>
    <row r="84" spans="1:12" x14ac:dyDescent="0.25">
      <c r="A84" t="s">
        <v>24</v>
      </c>
      <c r="B84" s="12">
        <v>45616</v>
      </c>
      <c r="C84" t="s">
        <v>52</v>
      </c>
      <c r="D84" s="14">
        <v>8</v>
      </c>
      <c r="E84" t="s">
        <v>54</v>
      </c>
      <c r="F84">
        <v>3</v>
      </c>
      <c r="G84">
        <v>1</v>
      </c>
      <c r="H84">
        <v>7</v>
      </c>
      <c r="I84">
        <v>2</v>
      </c>
      <c r="J84">
        <f>57+35+23</f>
        <v>115</v>
      </c>
      <c r="K84">
        <f>55+42+42</f>
        <v>139</v>
      </c>
      <c r="L84" t="s">
        <v>13</v>
      </c>
    </row>
    <row r="85" spans="1:12" x14ac:dyDescent="0.25">
      <c r="A85" t="s">
        <v>24</v>
      </c>
      <c r="B85" s="12">
        <v>45623</v>
      </c>
      <c r="C85" t="s">
        <v>106</v>
      </c>
      <c r="D85" s="14">
        <v>0</v>
      </c>
      <c r="E85" t="s">
        <v>13</v>
      </c>
      <c r="F85">
        <v>3</v>
      </c>
      <c r="G85">
        <v>0</v>
      </c>
      <c r="H85">
        <v>8</v>
      </c>
      <c r="I85">
        <v>2</v>
      </c>
      <c r="J85">
        <f>53+25+46</f>
        <v>124</v>
      </c>
      <c r="K85">
        <f>59+42+59</f>
        <v>160</v>
      </c>
      <c r="L85" t="s">
        <v>53</v>
      </c>
    </row>
    <row r="86" spans="1:12" x14ac:dyDescent="0.25">
      <c r="A86" t="s">
        <v>24</v>
      </c>
      <c r="B86" s="12">
        <v>45623</v>
      </c>
      <c r="C86" t="s">
        <v>39</v>
      </c>
      <c r="D86" s="14">
        <v>4</v>
      </c>
      <c r="E86" t="s">
        <v>13</v>
      </c>
      <c r="F86">
        <v>3</v>
      </c>
      <c r="G86">
        <v>0</v>
      </c>
      <c r="H86">
        <v>7</v>
      </c>
      <c r="I86">
        <v>1</v>
      </c>
      <c r="J86">
        <f>53+30+34</f>
        <v>117</v>
      </c>
      <c r="K86">
        <f>59+42+42</f>
        <v>143</v>
      </c>
      <c r="L86" t="s">
        <v>53</v>
      </c>
    </row>
    <row r="87" spans="1:12" x14ac:dyDescent="0.25">
      <c r="A87" t="s">
        <v>24</v>
      </c>
      <c r="B87" s="12">
        <v>45623</v>
      </c>
      <c r="C87" t="s">
        <v>41</v>
      </c>
      <c r="D87" s="14">
        <v>4</v>
      </c>
      <c r="E87" t="s">
        <v>13</v>
      </c>
      <c r="F87">
        <v>3</v>
      </c>
      <c r="G87">
        <v>0</v>
      </c>
      <c r="H87">
        <v>7</v>
      </c>
      <c r="I87">
        <v>1</v>
      </c>
      <c r="J87">
        <f>51+25+34</f>
        <v>110</v>
      </c>
      <c r="K87">
        <f>55+42+42</f>
        <v>139</v>
      </c>
      <c r="L87" t="s">
        <v>53</v>
      </c>
    </row>
    <row r="88" spans="1:12" x14ac:dyDescent="0.25">
      <c r="A88" t="s">
        <v>24</v>
      </c>
      <c r="B88" s="12">
        <v>45623</v>
      </c>
      <c r="C88" t="s">
        <v>107</v>
      </c>
      <c r="D88" s="14">
        <v>6</v>
      </c>
      <c r="E88" t="s">
        <v>13</v>
      </c>
      <c r="F88">
        <v>3</v>
      </c>
      <c r="G88">
        <v>0</v>
      </c>
      <c r="H88">
        <v>8</v>
      </c>
      <c r="I88">
        <v>2</v>
      </c>
      <c r="J88">
        <f>51+30+46</f>
        <v>127</v>
      </c>
      <c r="K88">
        <f>55+42+59</f>
        <v>156</v>
      </c>
      <c r="L88" t="s">
        <v>53</v>
      </c>
    </row>
    <row r="89" spans="1:12" x14ac:dyDescent="0.25">
      <c r="A89" t="s">
        <v>24</v>
      </c>
      <c r="B89" s="12">
        <v>45623</v>
      </c>
      <c r="C89" t="s">
        <v>138</v>
      </c>
      <c r="D89" s="14">
        <v>-4</v>
      </c>
      <c r="E89" t="s">
        <v>53</v>
      </c>
      <c r="F89">
        <v>3</v>
      </c>
      <c r="G89">
        <v>3</v>
      </c>
      <c r="H89">
        <v>8</v>
      </c>
      <c r="I89">
        <v>6</v>
      </c>
      <c r="J89">
        <f>59+42+59</f>
        <v>160</v>
      </c>
      <c r="K89">
        <f>53+25+46</f>
        <v>124</v>
      </c>
      <c r="L89" t="s">
        <v>13</v>
      </c>
    </row>
    <row r="90" spans="1:12" x14ac:dyDescent="0.25">
      <c r="A90" t="s">
        <v>24</v>
      </c>
      <c r="B90" s="12">
        <v>45623</v>
      </c>
      <c r="C90" t="s">
        <v>46</v>
      </c>
      <c r="D90" s="14">
        <v>-2</v>
      </c>
      <c r="E90" t="s">
        <v>53</v>
      </c>
      <c r="F90">
        <v>3</v>
      </c>
      <c r="G90">
        <v>3</v>
      </c>
      <c r="H90">
        <v>7</v>
      </c>
      <c r="I90">
        <v>6</v>
      </c>
      <c r="J90">
        <f>59+42+42</f>
        <v>143</v>
      </c>
      <c r="K90">
        <f>53+30+34</f>
        <v>117</v>
      </c>
      <c r="L90" t="s">
        <v>13</v>
      </c>
    </row>
    <row r="91" spans="1:12" x14ac:dyDescent="0.25">
      <c r="A91" t="s">
        <v>24</v>
      </c>
      <c r="B91" s="12">
        <v>45623</v>
      </c>
      <c r="C91" t="s">
        <v>47</v>
      </c>
      <c r="D91" s="14">
        <v>-6</v>
      </c>
      <c r="E91" t="s">
        <v>53</v>
      </c>
      <c r="F91">
        <v>3</v>
      </c>
      <c r="G91">
        <v>3</v>
      </c>
      <c r="H91">
        <v>7</v>
      </c>
      <c r="I91">
        <v>6</v>
      </c>
      <c r="J91">
        <f>55+42+42</f>
        <v>139</v>
      </c>
      <c r="K91">
        <f>51+25+34</f>
        <v>110</v>
      </c>
      <c r="L91" t="s">
        <v>13</v>
      </c>
    </row>
    <row r="92" spans="1:12" x14ac:dyDescent="0.25">
      <c r="A92" t="s">
        <v>24</v>
      </c>
      <c r="B92" s="12">
        <v>45623</v>
      </c>
      <c r="C92" t="s">
        <v>48</v>
      </c>
      <c r="D92" s="14">
        <v>-6</v>
      </c>
      <c r="E92" t="s">
        <v>53</v>
      </c>
      <c r="F92">
        <v>3</v>
      </c>
      <c r="G92">
        <v>3</v>
      </c>
      <c r="H92">
        <v>8</v>
      </c>
      <c r="I92">
        <v>6</v>
      </c>
      <c r="J92">
        <f>55+42+59</f>
        <v>156</v>
      </c>
      <c r="K92">
        <f>51+30+46</f>
        <v>127</v>
      </c>
      <c r="L92" t="s">
        <v>13</v>
      </c>
    </row>
    <row r="93" spans="1:12" x14ac:dyDescent="0.25">
      <c r="A93" t="s">
        <v>24</v>
      </c>
      <c r="B93" s="12">
        <v>45662</v>
      </c>
      <c r="C93" t="s">
        <v>68</v>
      </c>
      <c r="D93" s="14">
        <v>2</v>
      </c>
      <c r="E93" t="s">
        <v>18</v>
      </c>
      <c r="F93">
        <v>3</v>
      </c>
      <c r="G93">
        <v>3</v>
      </c>
      <c r="H93">
        <v>7</v>
      </c>
      <c r="I93">
        <v>6</v>
      </c>
      <c r="J93">
        <f>42+42+62</f>
        <v>146</v>
      </c>
      <c r="K93">
        <f>34+30+59</f>
        <v>123</v>
      </c>
      <c r="L93" t="s">
        <v>12</v>
      </c>
    </row>
    <row r="94" spans="1:12" x14ac:dyDescent="0.25">
      <c r="A94" t="s">
        <v>24</v>
      </c>
      <c r="B94" s="12">
        <v>45662</v>
      </c>
      <c r="C94" t="s">
        <v>144</v>
      </c>
      <c r="D94" s="14">
        <v>8</v>
      </c>
      <c r="E94" t="s">
        <v>18</v>
      </c>
      <c r="F94">
        <v>3</v>
      </c>
      <c r="G94">
        <v>2</v>
      </c>
      <c r="H94">
        <v>7</v>
      </c>
      <c r="I94">
        <v>4</v>
      </c>
      <c r="J94">
        <f>42+56+37</f>
        <v>135</v>
      </c>
      <c r="K94">
        <f>34+59+42</f>
        <v>135</v>
      </c>
      <c r="L94" t="s">
        <v>12</v>
      </c>
    </row>
    <row r="95" spans="1:12" x14ac:dyDescent="0.25">
      <c r="A95" t="s">
        <v>24</v>
      </c>
      <c r="B95" s="12">
        <v>45662</v>
      </c>
      <c r="C95" t="s">
        <v>145</v>
      </c>
      <c r="D95" s="14">
        <v>-2</v>
      </c>
      <c r="E95" t="s">
        <v>18</v>
      </c>
      <c r="F95">
        <v>3</v>
      </c>
      <c r="G95">
        <v>2</v>
      </c>
      <c r="H95">
        <v>6</v>
      </c>
      <c r="I95">
        <v>4</v>
      </c>
      <c r="J95">
        <f>42+42+37</f>
        <v>121</v>
      </c>
      <c r="K95">
        <f>25+30+42</f>
        <v>97</v>
      </c>
      <c r="L95" t="s">
        <v>12</v>
      </c>
    </row>
    <row r="96" spans="1:12" x14ac:dyDescent="0.25">
      <c r="A96" t="s">
        <v>24</v>
      </c>
      <c r="B96" s="12">
        <v>45662</v>
      </c>
      <c r="C96" t="s">
        <v>69</v>
      </c>
      <c r="D96" s="14">
        <v>4</v>
      </c>
      <c r="E96" t="s">
        <v>18</v>
      </c>
      <c r="F96">
        <v>3</v>
      </c>
      <c r="G96">
        <v>3</v>
      </c>
      <c r="H96">
        <v>8</v>
      </c>
      <c r="I96">
        <v>6</v>
      </c>
      <c r="J96">
        <f>42+56+62</f>
        <v>160</v>
      </c>
      <c r="K96">
        <f>25+59+59</f>
        <v>143</v>
      </c>
      <c r="L96" t="s">
        <v>12</v>
      </c>
    </row>
    <row r="97" spans="1:12" x14ac:dyDescent="0.25">
      <c r="A97" t="s">
        <v>24</v>
      </c>
      <c r="B97" s="12">
        <v>45662</v>
      </c>
      <c r="C97" t="s">
        <v>135</v>
      </c>
      <c r="D97" s="14">
        <v>8</v>
      </c>
      <c r="E97" t="s">
        <v>12</v>
      </c>
      <c r="F97">
        <v>3</v>
      </c>
      <c r="G97">
        <v>0</v>
      </c>
      <c r="H97">
        <v>7</v>
      </c>
      <c r="I97">
        <v>1</v>
      </c>
      <c r="J97">
        <f>34+30+59</f>
        <v>123</v>
      </c>
      <c r="K97">
        <f>42+42+62</f>
        <v>146</v>
      </c>
      <c r="L97" t="s">
        <v>18</v>
      </c>
    </row>
    <row r="98" spans="1:12" x14ac:dyDescent="0.25">
      <c r="A98" t="s">
        <v>24</v>
      </c>
      <c r="B98" s="12">
        <v>45662</v>
      </c>
      <c r="C98" t="s">
        <v>94</v>
      </c>
      <c r="D98" s="14">
        <v>12</v>
      </c>
      <c r="E98" t="s">
        <v>12</v>
      </c>
      <c r="F98">
        <v>3</v>
      </c>
      <c r="G98">
        <v>1</v>
      </c>
      <c r="H98">
        <v>7</v>
      </c>
      <c r="I98">
        <v>3</v>
      </c>
      <c r="J98">
        <f>34+59+42</f>
        <v>135</v>
      </c>
      <c r="K98">
        <f>42+56+37</f>
        <v>135</v>
      </c>
      <c r="L98" t="s">
        <v>18</v>
      </c>
    </row>
    <row r="99" spans="1:12" x14ac:dyDescent="0.25">
      <c r="A99" t="s">
        <v>24</v>
      </c>
      <c r="B99" s="12">
        <v>45662</v>
      </c>
      <c r="C99" t="s">
        <v>95</v>
      </c>
      <c r="D99" s="14">
        <v>6</v>
      </c>
      <c r="E99" t="s">
        <v>12</v>
      </c>
      <c r="F99">
        <v>3</v>
      </c>
      <c r="G99">
        <v>1</v>
      </c>
      <c r="H99">
        <v>6</v>
      </c>
      <c r="I99">
        <v>2</v>
      </c>
      <c r="J99">
        <f>25+30+42</f>
        <v>97</v>
      </c>
      <c r="K99">
        <f>42+42+37</f>
        <v>121</v>
      </c>
      <c r="L99" t="s">
        <v>18</v>
      </c>
    </row>
    <row r="100" spans="1:12" x14ac:dyDescent="0.25">
      <c r="A100" t="s">
        <v>24</v>
      </c>
      <c r="B100" s="12">
        <v>45662</v>
      </c>
      <c r="C100" t="s">
        <v>96</v>
      </c>
      <c r="D100" s="14">
        <v>12</v>
      </c>
      <c r="E100" t="s">
        <v>12</v>
      </c>
      <c r="F100">
        <v>3</v>
      </c>
      <c r="G100">
        <v>0</v>
      </c>
      <c r="H100">
        <v>8</v>
      </c>
      <c r="I100">
        <v>2</v>
      </c>
      <c r="J100">
        <f>25+59+59</f>
        <v>143</v>
      </c>
      <c r="K100">
        <f>42+56+62</f>
        <v>160</v>
      </c>
      <c r="L100" t="s">
        <v>18</v>
      </c>
    </row>
    <row r="101" spans="1:12" x14ac:dyDescent="0.25">
      <c r="A101" t="s">
        <v>24</v>
      </c>
      <c r="B101" s="12">
        <v>45667</v>
      </c>
      <c r="C101" t="s">
        <v>118</v>
      </c>
      <c r="D101" s="14">
        <v>0</v>
      </c>
      <c r="E101" t="s">
        <v>54</v>
      </c>
      <c r="F101">
        <v>3</v>
      </c>
      <c r="G101">
        <v>1</v>
      </c>
      <c r="H101">
        <v>7</v>
      </c>
      <c r="I101">
        <v>3</v>
      </c>
      <c r="J101">
        <f>42+38+54</f>
        <v>134</v>
      </c>
      <c r="K101">
        <f>31+42+61</f>
        <v>134</v>
      </c>
      <c r="L101" t="s">
        <v>10</v>
      </c>
    </row>
    <row r="102" spans="1:12" x14ac:dyDescent="0.25">
      <c r="A102" t="s">
        <v>24</v>
      </c>
      <c r="B102" s="12">
        <v>45667</v>
      </c>
      <c r="C102" t="s">
        <v>62</v>
      </c>
      <c r="D102" s="14">
        <v>4</v>
      </c>
      <c r="E102" t="s">
        <v>54</v>
      </c>
      <c r="F102">
        <v>3</v>
      </c>
      <c r="G102">
        <v>3</v>
      </c>
      <c r="H102">
        <v>6</v>
      </c>
      <c r="I102">
        <v>6</v>
      </c>
      <c r="J102">
        <f>42+42+42</f>
        <v>126</v>
      </c>
      <c r="K102">
        <f>31+26+32</f>
        <v>89</v>
      </c>
      <c r="L102" t="s">
        <v>10</v>
      </c>
    </row>
    <row r="103" spans="1:12" x14ac:dyDescent="0.25">
      <c r="A103" t="s">
        <v>24</v>
      </c>
      <c r="B103" s="12">
        <v>45667</v>
      </c>
      <c r="C103" t="s">
        <v>116</v>
      </c>
      <c r="D103" s="14">
        <v>-4</v>
      </c>
      <c r="E103" t="s">
        <v>54</v>
      </c>
      <c r="F103">
        <v>3</v>
      </c>
      <c r="G103">
        <v>2</v>
      </c>
      <c r="H103">
        <v>6</v>
      </c>
      <c r="I103">
        <v>4</v>
      </c>
      <c r="J103">
        <f>42+38+42</f>
        <v>122</v>
      </c>
      <c r="K103">
        <f>27+42+32</f>
        <v>101</v>
      </c>
      <c r="L103" t="s">
        <v>10</v>
      </c>
    </row>
    <row r="104" spans="1:12" x14ac:dyDescent="0.25">
      <c r="A104" t="s">
        <v>24</v>
      </c>
      <c r="B104" s="12">
        <v>45667</v>
      </c>
      <c r="C104" t="s">
        <v>51</v>
      </c>
      <c r="D104" s="14">
        <v>-4</v>
      </c>
      <c r="E104" t="s">
        <v>54</v>
      </c>
      <c r="F104">
        <v>3</v>
      </c>
      <c r="G104">
        <v>2</v>
      </c>
      <c r="H104">
        <v>7</v>
      </c>
      <c r="I104">
        <v>5</v>
      </c>
      <c r="J104">
        <f>42+42+54</f>
        <v>138</v>
      </c>
      <c r="K104">
        <f>27+26+61</f>
        <v>114</v>
      </c>
      <c r="L104" t="s">
        <v>10</v>
      </c>
    </row>
    <row r="105" spans="1:12" x14ac:dyDescent="0.25">
      <c r="A105" t="s">
        <v>24</v>
      </c>
      <c r="B105" s="12">
        <v>45667</v>
      </c>
      <c r="C105" t="s">
        <v>123</v>
      </c>
      <c r="D105" s="14">
        <v>-4</v>
      </c>
      <c r="E105" t="s">
        <v>10</v>
      </c>
      <c r="F105">
        <v>3</v>
      </c>
      <c r="G105">
        <v>2</v>
      </c>
      <c r="H105">
        <v>7</v>
      </c>
      <c r="I105">
        <v>4</v>
      </c>
      <c r="J105">
        <f>31+42+61</f>
        <v>134</v>
      </c>
      <c r="K105">
        <f>42+38+54</f>
        <v>134</v>
      </c>
      <c r="L105" t="s">
        <v>54</v>
      </c>
    </row>
    <row r="106" spans="1:12" x14ac:dyDescent="0.25">
      <c r="A106" t="s">
        <v>24</v>
      </c>
      <c r="B106" s="12">
        <v>45667</v>
      </c>
      <c r="C106" t="s">
        <v>36</v>
      </c>
      <c r="D106" s="14">
        <v>0</v>
      </c>
      <c r="E106" t="s">
        <v>10</v>
      </c>
      <c r="F106">
        <v>3</v>
      </c>
      <c r="G106">
        <v>0</v>
      </c>
      <c r="H106">
        <v>6</v>
      </c>
      <c r="I106">
        <v>0</v>
      </c>
      <c r="J106">
        <f>31+26+32</f>
        <v>89</v>
      </c>
      <c r="K106">
        <f>42+42+42</f>
        <v>126</v>
      </c>
      <c r="L106" t="s">
        <v>54</v>
      </c>
    </row>
    <row r="107" spans="1:12" x14ac:dyDescent="0.25">
      <c r="A107" t="s">
        <v>24</v>
      </c>
      <c r="B107" s="12">
        <v>45667</v>
      </c>
      <c r="C107" t="s">
        <v>71</v>
      </c>
      <c r="D107" s="14">
        <v>-2</v>
      </c>
      <c r="E107" t="s">
        <v>10</v>
      </c>
      <c r="F107">
        <v>3</v>
      </c>
      <c r="G107">
        <v>1</v>
      </c>
      <c r="H107">
        <v>6</v>
      </c>
      <c r="I107">
        <v>2</v>
      </c>
      <c r="J107">
        <f>27+42+32</f>
        <v>101</v>
      </c>
      <c r="K107">
        <f>42+38+42</f>
        <v>122</v>
      </c>
      <c r="L107" t="s">
        <v>54</v>
      </c>
    </row>
    <row r="108" spans="1:12" x14ac:dyDescent="0.25">
      <c r="A108" t="s">
        <v>24</v>
      </c>
      <c r="B108" s="12">
        <v>45667</v>
      </c>
      <c r="C108" t="s">
        <v>58</v>
      </c>
      <c r="D108" s="14">
        <v>0</v>
      </c>
      <c r="E108" t="s">
        <v>10</v>
      </c>
      <c r="F108">
        <v>3</v>
      </c>
      <c r="G108">
        <v>1</v>
      </c>
      <c r="H108">
        <v>7</v>
      </c>
      <c r="I108">
        <v>2</v>
      </c>
      <c r="J108">
        <f>27+26+61</f>
        <v>114</v>
      </c>
      <c r="K108">
        <f>42+42+54</f>
        <v>138</v>
      </c>
      <c r="L108" t="s">
        <v>54</v>
      </c>
    </row>
    <row r="109" spans="1:12" x14ac:dyDescent="0.25">
      <c r="A109" t="s">
        <v>24</v>
      </c>
      <c r="B109" s="12">
        <v>45667</v>
      </c>
      <c r="C109" t="s">
        <v>132</v>
      </c>
      <c r="D109" s="14">
        <v>8</v>
      </c>
      <c r="E109" t="s">
        <v>12</v>
      </c>
      <c r="F109">
        <v>3</v>
      </c>
      <c r="G109">
        <v>2</v>
      </c>
      <c r="H109">
        <v>7</v>
      </c>
      <c r="I109">
        <v>5</v>
      </c>
      <c r="J109">
        <f>60+42+42</f>
        <v>144</v>
      </c>
      <c r="K109">
        <f>55+24+25</f>
        <v>104</v>
      </c>
      <c r="L109" t="s">
        <v>13</v>
      </c>
    </row>
    <row r="110" spans="1:12" x14ac:dyDescent="0.25">
      <c r="A110" t="s">
        <v>24</v>
      </c>
      <c r="B110" s="12">
        <v>45667</v>
      </c>
      <c r="C110" t="s">
        <v>137</v>
      </c>
      <c r="D110" s="14">
        <v>12</v>
      </c>
      <c r="E110" t="s">
        <v>12</v>
      </c>
      <c r="F110">
        <v>3</v>
      </c>
      <c r="G110">
        <v>1</v>
      </c>
      <c r="H110">
        <v>7</v>
      </c>
      <c r="I110">
        <v>3</v>
      </c>
      <c r="J110">
        <f>60+34+42</f>
        <v>136</v>
      </c>
      <c r="K110">
        <f>55+42+19</f>
        <v>116</v>
      </c>
      <c r="L110" t="s">
        <v>13</v>
      </c>
    </row>
    <row r="111" spans="1:12" x14ac:dyDescent="0.25">
      <c r="A111" t="s">
        <v>24</v>
      </c>
      <c r="B111" s="12">
        <v>45667</v>
      </c>
      <c r="C111" t="s">
        <v>112</v>
      </c>
      <c r="D111" s="14">
        <v>4</v>
      </c>
      <c r="E111" t="s">
        <v>12</v>
      </c>
      <c r="F111">
        <v>3</v>
      </c>
      <c r="G111">
        <v>3</v>
      </c>
      <c r="H111">
        <v>7</v>
      </c>
      <c r="I111">
        <v>6</v>
      </c>
      <c r="J111">
        <f>57+42+42</f>
        <v>141</v>
      </c>
      <c r="K111">
        <f>57+24+19</f>
        <v>100</v>
      </c>
      <c r="L111" t="s">
        <v>13</v>
      </c>
    </row>
    <row r="112" spans="1:12" x14ac:dyDescent="0.25">
      <c r="A112" t="s">
        <v>24</v>
      </c>
      <c r="B112" s="12">
        <v>45667</v>
      </c>
      <c r="C112" t="s">
        <v>121</v>
      </c>
      <c r="D112" s="14">
        <v>8</v>
      </c>
      <c r="E112" t="s">
        <v>12</v>
      </c>
      <c r="F112">
        <v>3</v>
      </c>
      <c r="G112">
        <v>2</v>
      </c>
      <c r="H112">
        <v>7</v>
      </c>
      <c r="I112">
        <v>4</v>
      </c>
      <c r="J112">
        <f>57+34+42</f>
        <v>133</v>
      </c>
      <c r="K112">
        <f>57+42+25</f>
        <v>124</v>
      </c>
      <c r="L112" t="s">
        <v>13</v>
      </c>
    </row>
    <row r="113" spans="1:12" x14ac:dyDescent="0.25">
      <c r="A113" t="s">
        <v>24</v>
      </c>
      <c r="B113" s="12">
        <v>45667</v>
      </c>
      <c r="C113" t="s">
        <v>106</v>
      </c>
      <c r="D113" s="14">
        <v>0</v>
      </c>
      <c r="E113" t="s">
        <v>13</v>
      </c>
      <c r="F113">
        <v>3</v>
      </c>
      <c r="G113">
        <v>1</v>
      </c>
      <c r="H113">
        <v>7</v>
      </c>
      <c r="I113">
        <v>2</v>
      </c>
      <c r="J113">
        <f>55+24+25</f>
        <v>104</v>
      </c>
      <c r="K113">
        <f>60+42+42</f>
        <v>144</v>
      </c>
      <c r="L113" t="s">
        <v>12</v>
      </c>
    </row>
    <row r="114" spans="1:12" x14ac:dyDescent="0.25">
      <c r="A114" t="s">
        <v>24</v>
      </c>
      <c r="B114" s="12">
        <v>45667</v>
      </c>
      <c r="C114" t="s">
        <v>134</v>
      </c>
      <c r="D114" s="14">
        <v>12</v>
      </c>
      <c r="E114" t="s">
        <v>13</v>
      </c>
      <c r="F114">
        <v>3</v>
      </c>
      <c r="G114">
        <v>2</v>
      </c>
      <c r="H114">
        <v>7</v>
      </c>
      <c r="I114">
        <v>4</v>
      </c>
      <c r="J114">
        <f>55+42+19</f>
        <v>116</v>
      </c>
      <c r="K114">
        <f>60+34+42</f>
        <v>136</v>
      </c>
      <c r="L114" t="s">
        <v>12</v>
      </c>
    </row>
    <row r="115" spans="1:12" x14ac:dyDescent="0.25">
      <c r="A115" t="s">
        <v>24</v>
      </c>
      <c r="B115" s="12">
        <v>45667</v>
      </c>
      <c r="C115" t="s">
        <v>107</v>
      </c>
      <c r="D115" s="14">
        <v>6</v>
      </c>
      <c r="E115" t="s">
        <v>13</v>
      </c>
      <c r="F115">
        <v>3</v>
      </c>
      <c r="G115">
        <v>0</v>
      </c>
      <c r="H115">
        <v>7</v>
      </c>
      <c r="I115">
        <v>1</v>
      </c>
      <c r="J115">
        <f>57+24+19</f>
        <v>100</v>
      </c>
      <c r="K115">
        <f>57+42+42</f>
        <v>141</v>
      </c>
      <c r="L115" t="s">
        <v>12</v>
      </c>
    </row>
    <row r="116" spans="1:12" x14ac:dyDescent="0.25">
      <c r="A116" t="s">
        <v>24</v>
      </c>
      <c r="B116" s="12">
        <v>45667</v>
      </c>
      <c r="C116" t="s">
        <v>108</v>
      </c>
      <c r="D116" s="14">
        <v>6</v>
      </c>
      <c r="E116" t="s">
        <v>13</v>
      </c>
      <c r="F116">
        <v>3</v>
      </c>
      <c r="G116">
        <v>1</v>
      </c>
      <c r="H116">
        <v>7</v>
      </c>
      <c r="I116">
        <v>3</v>
      </c>
      <c r="J116">
        <f>57+42+25</f>
        <v>124</v>
      </c>
      <c r="K116">
        <f>57+34+42</f>
        <v>133</v>
      </c>
      <c r="L116" t="s">
        <v>12</v>
      </c>
    </row>
    <row r="117" spans="1:12" x14ac:dyDescent="0.25">
      <c r="A117" t="s">
        <v>24</v>
      </c>
      <c r="B117" s="12">
        <v>45674</v>
      </c>
      <c r="C117" t="s">
        <v>118</v>
      </c>
      <c r="D117" s="14">
        <v>0</v>
      </c>
      <c r="E117" t="s">
        <v>54</v>
      </c>
      <c r="F117">
        <v>3</v>
      </c>
      <c r="G117">
        <v>0</v>
      </c>
      <c r="H117">
        <v>6</v>
      </c>
      <c r="I117">
        <v>0</v>
      </c>
      <c r="J117">
        <f>30+31+36</f>
        <v>97</v>
      </c>
      <c r="K117">
        <f>42+42+42</f>
        <v>126</v>
      </c>
      <c r="L117" t="s">
        <v>18</v>
      </c>
    </row>
    <row r="118" spans="1:12" x14ac:dyDescent="0.25">
      <c r="A118" t="s">
        <v>24</v>
      </c>
      <c r="B118" s="12">
        <v>45674</v>
      </c>
      <c r="C118" t="s">
        <v>50</v>
      </c>
      <c r="D118" s="14">
        <v>6</v>
      </c>
      <c r="E118" t="s">
        <v>54</v>
      </c>
      <c r="F118">
        <v>3</v>
      </c>
      <c r="G118">
        <v>1</v>
      </c>
      <c r="H118">
        <v>6</v>
      </c>
      <c r="I118">
        <v>2</v>
      </c>
      <c r="J118">
        <f>30+42+34</f>
        <v>106</v>
      </c>
      <c r="K118">
        <f>42+28+42</f>
        <v>112</v>
      </c>
      <c r="L118" t="s">
        <v>18</v>
      </c>
    </row>
    <row r="119" spans="1:12" x14ac:dyDescent="0.25">
      <c r="A119" t="s">
        <v>24</v>
      </c>
      <c r="B119" s="12">
        <v>45674</v>
      </c>
      <c r="C119" t="s">
        <v>116</v>
      </c>
      <c r="D119" s="14">
        <v>-4</v>
      </c>
      <c r="E119" t="s">
        <v>54</v>
      </c>
      <c r="F119">
        <v>3</v>
      </c>
      <c r="G119">
        <v>0</v>
      </c>
      <c r="H119">
        <v>7</v>
      </c>
      <c r="I119">
        <v>1</v>
      </c>
      <c r="J119">
        <f>43+31+34</f>
        <v>108</v>
      </c>
      <c r="K119">
        <f>62+42+42</f>
        <v>146</v>
      </c>
      <c r="L119" t="s">
        <v>18</v>
      </c>
    </row>
    <row r="120" spans="1:12" x14ac:dyDescent="0.25">
      <c r="A120" t="s">
        <v>24</v>
      </c>
      <c r="B120" s="12">
        <v>45674</v>
      </c>
      <c r="C120" t="s">
        <v>51</v>
      </c>
      <c r="D120" s="14">
        <v>-4</v>
      </c>
      <c r="E120" t="s">
        <v>54</v>
      </c>
      <c r="F120">
        <v>3</v>
      </c>
      <c r="G120">
        <v>1</v>
      </c>
      <c r="H120">
        <v>7</v>
      </c>
      <c r="I120">
        <v>3</v>
      </c>
      <c r="J120">
        <f>43+42+36</f>
        <v>121</v>
      </c>
      <c r="K120">
        <f>62+28+42</f>
        <v>132</v>
      </c>
      <c r="L120" t="s">
        <v>18</v>
      </c>
    </row>
    <row r="121" spans="1:12" x14ac:dyDescent="0.25">
      <c r="A121" t="s">
        <v>24</v>
      </c>
      <c r="B121" s="12">
        <v>45674</v>
      </c>
      <c r="C121" t="s">
        <v>149</v>
      </c>
      <c r="D121" s="14">
        <v>-4</v>
      </c>
      <c r="E121" t="s">
        <v>18</v>
      </c>
      <c r="F121">
        <v>3</v>
      </c>
      <c r="G121">
        <v>3</v>
      </c>
      <c r="H121">
        <v>6</v>
      </c>
      <c r="I121">
        <v>6</v>
      </c>
      <c r="J121">
        <f>42+42+42</f>
        <v>126</v>
      </c>
      <c r="K121">
        <f>30+31+36</f>
        <v>97</v>
      </c>
      <c r="L121" t="s">
        <v>54</v>
      </c>
    </row>
    <row r="122" spans="1:12" x14ac:dyDescent="0.25">
      <c r="A122" t="s">
        <v>24</v>
      </c>
      <c r="B122" s="12">
        <v>45674</v>
      </c>
      <c r="C122" t="s">
        <v>67</v>
      </c>
      <c r="D122" s="14">
        <v>0</v>
      </c>
      <c r="E122" t="s">
        <v>18</v>
      </c>
      <c r="F122">
        <v>3</v>
      </c>
      <c r="G122">
        <v>2</v>
      </c>
      <c r="H122">
        <v>6</v>
      </c>
      <c r="I122">
        <v>4</v>
      </c>
      <c r="J122">
        <f>42+28+42</f>
        <v>112</v>
      </c>
      <c r="K122">
        <f>30+42+34</f>
        <v>106</v>
      </c>
      <c r="L122" t="s">
        <v>54</v>
      </c>
    </row>
    <row r="123" spans="1:12" x14ac:dyDescent="0.25">
      <c r="A123" t="s">
        <v>24</v>
      </c>
      <c r="B123" s="12">
        <v>45674</v>
      </c>
      <c r="C123" t="s">
        <v>124</v>
      </c>
      <c r="D123" s="14">
        <v>-6</v>
      </c>
      <c r="E123" t="s">
        <v>18</v>
      </c>
      <c r="F123">
        <v>3</v>
      </c>
      <c r="G123">
        <v>3</v>
      </c>
      <c r="H123">
        <v>7</v>
      </c>
      <c r="I123">
        <v>6</v>
      </c>
      <c r="J123">
        <f>62+42+42</f>
        <v>146</v>
      </c>
      <c r="K123">
        <f>43+31+34</f>
        <v>108</v>
      </c>
      <c r="L123" t="s">
        <v>54</v>
      </c>
    </row>
    <row r="124" spans="1:12" x14ac:dyDescent="0.25">
      <c r="A124" t="s">
        <v>24</v>
      </c>
      <c r="B124" s="12">
        <v>45674</v>
      </c>
      <c r="C124" t="s">
        <v>145</v>
      </c>
      <c r="D124" s="14">
        <v>-2</v>
      </c>
      <c r="E124" t="s">
        <v>18</v>
      </c>
      <c r="F124">
        <v>3</v>
      </c>
      <c r="G124">
        <v>2</v>
      </c>
      <c r="H124">
        <v>7</v>
      </c>
      <c r="I124">
        <v>4</v>
      </c>
      <c r="J124">
        <f>62+28+42</f>
        <v>132</v>
      </c>
      <c r="K124">
        <f>43+42+36</f>
        <v>121</v>
      </c>
      <c r="L124" t="s">
        <v>54</v>
      </c>
    </row>
    <row r="125" spans="1:12" x14ac:dyDescent="0.25">
      <c r="A125" t="s">
        <v>24</v>
      </c>
      <c r="B125" s="12">
        <v>45679</v>
      </c>
      <c r="C125" t="s">
        <v>40</v>
      </c>
      <c r="D125" s="14">
        <v>8</v>
      </c>
      <c r="E125" t="s">
        <v>13</v>
      </c>
      <c r="F125">
        <v>3</v>
      </c>
      <c r="G125">
        <v>3</v>
      </c>
      <c r="H125">
        <v>9</v>
      </c>
      <c r="I125">
        <v>6</v>
      </c>
      <c r="J125">
        <f>61+60+62</f>
        <v>183</v>
      </c>
      <c r="K125">
        <f>51+49+54</f>
        <v>154</v>
      </c>
      <c r="L125" t="s">
        <v>10</v>
      </c>
    </row>
    <row r="126" spans="1:12" x14ac:dyDescent="0.25">
      <c r="A126" t="s">
        <v>24</v>
      </c>
      <c r="B126" s="12">
        <v>45679</v>
      </c>
      <c r="C126" t="s">
        <v>134</v>
      </c>
      <c r="D126" s="14">
        <v>12</v>
      </c>
      <c r="E126" t="s">
        <v>13</v>
      </c>
      <c r="F126">
        <v>3</v>
      </c>
      <c r="G126">
        <v>3</v>
      </c>
      <c r="H126">
        <v>7</v>
      </c>
      <c r="I126">
        <v>6</v>
      </c>
      <c r="J126">
        <f>61+42+42</f>
        <v>145</v>
      </c>
      <c r="K126">
        <f>51+17+32</f>
        <v>100</v>
      </c>
      <c r="L126" t="s">
        <v>10</v>
      </c>
    </row>
    <row r="127" spans="1:12" x14ac:dyDescent="0.25">
      <c r="A127" t="s">
        <v>24</v>
      </c>
      <c r="B127" s="12">
        <v>45679</v>
      </c>
      <c r="C127" t="s">
        <v>107</v>
      </c>
      <c r="D127" s="14">
        <v>6</v>
      </c>
      <c r="E127" t="s">
        <v>13</v>
      </c>
      <c r="F127">
        <v>3</v>
      </c>
      <c r="G127">
        <v>3</v>
      </c>
      <c r="H127">
        <v>7</v>
      </c>
      <c r="I127">
        <v>6</v>
      </c>
      <c r="J127">
        <f>42+60+42</f>
        <v>144</v>
      </c>
      <c r="K127">
        <f>13+49+32</f>
        <v>94</v>
      </c>
      <c r="L127" t="s">
        <v>10</v>
      </c>
    </row>
    <row r="128" spans="1:12" x14ac:dyDescent="0.25">
      <c r="A128" t="s">
        <v>24</v>
      </c>
      <c r="B128" s="12">
        <v>45679</v>
      </c>
      <c r="C128" t="s">
        <v>42</v>
      </c>
      <c r="D128" s="14">
        <v>8</v>
      </c>
      <c r="E128" t="s">
        <v>13</v>
      </c>
      <c r="F128">
        <v>3</v>
      </c>
      <c r="G128">
        <v>3</v>
      </c>
      <c r="H128">
        <v>7</v>
      </c>
      <c r="I128">
        <v>6</v>
      </c>
      <c r="J128">
        <f>42+42+62</f>
        <v>146</v>
      </c>
      <c r="K128">
        <f>13+17+54</f>
        <v>84</v>
      </c>
      <c r="L128" t="s">
        <v>10</v>
      </c>
    </row>
    <row r="129" spans="1:12" x14ac:dyDescent="0.25">
      <c r="A129" t="s">
        <v>24</v>
      </c>
      <c r="B129" s="12">
        <v>45679</v>
      </c>
      <c r="C129" t="s">
        <v>34</v>
      </c>
      <c r="D129" s="14">
        <v>-2</v>
      </c>
      <c r="E129" t="s">
        <v>10</v>
      </c>
      <c r="F129">
        <v>3</v>
      </c>
      <c r="G129">
        <v>0</v>
      </c>
      <c r="H129">
        <v>9</v>
      </c>
      <c r="I129">
        <v>3</v>
      </c>
      <c r="J129">
        <f>51+49+54</f>
        <v>154</v>
      </c>
      <c r="K129">
        <f>61+60+62</f>
        <v>183</v>
      </c>
      <c r="L129" t="s">
        <v>13</v>
      </c>
    </row>
    <row r="130" spans="1:12" x14ac:dyDescent="0.25">
      <c r="A130" t="s">
        <v>24</v>
      </c>
      <c r="B130" s="12">
        <v>45679</v>
      </c>
      <c r="C130" t="s">
        <v>36</v>
      </c>
      <c r="D130" s="14">
        <v>0</v>
      </c>
      <c r="E130" t="s">
        <v>10</v>
      </c>
      <c r="F130">
        <v>3</v>
      </c>
      <c r="G130">
        <v>0</v>
      </c>
      <c r="H130">
        <v>7</v>
      </c>
      <c r="I130">
        <v>1</v>
      </c>
      <c r="J130">
        <f>51+17+32</f>
        <v>100</v>
      </c>
      <c r="K130">
        <f>61+42+42</f>
        <v>145</v>
      </c>
      <c r="L130" t="s">
        <v>13</v>
      </c>
    </row>
    <row r="131" spans="1:12" x14ac:dyDescent="0.25">
      <c r="A131" t="s">
        <v>24</v>
      </c>
      <c r="B131" s="12">
        <v>45679</v>
      </c>
      <c r="C131" t="s">
        <v>143</v>
      </c>
      <c r="D131" s="14">
        <v>-2</v>
      </c>
      <c r="E131" t="s">
        <v>10</v>
      </c>
      <c r="F131">
        <v>3</v>
      </c>
      <c r="G131">
        <v>0</v>
      </c>
      <c r="H131">
        <v>7</v>
      </c>
      <c r="I131">
        <v>1</v>
      </c>
      <c r="J131">
        <f>13+49+32</f>
        <v>94</v>
      </c>
      <c r="K131">
        <f>42+60+42</f>
        <v>144</v>
      </c>
      <c r="L131" t="s">
        <v>13</v>
      </c>
    </row>
    <row r="132" spans="1:12" x14ac:dyDescent="0.25">
      <c r="A132" t="s">
        <v>24</v>
      </c>
      <c r="B132" s="12">
        <v>45679</v>
      </c>
      <c r="C132" t="s">
        <v>156</v>
      </c>
      <c r="D132" s="14">
        <v>-2</v>
      </c>
      <c r="E132" t="s">
        <v>10</v>
      </c>
      <c r="F132">
        <v>3</v>
      </c>
      <c r="G132">
        <v>0</v>
      </c>
      <c r="H132">
        <v>7</v>
      </c>
      <c r="I132">
        <v>1</v>
      </c>
      <c r="J132">
        <f>13+17+54</f>
        <v>84</v>
      </c>
      <c r="K132">
        <f>42+42+62</f>
        <v>146</v>
      </c>
      <c r="L132" t="s">
        <v>13</v>
      </c>
    </row>
    <row r="133" spans="1:12" x14ac:dyDescent="0.25">
      <c r="A133" t="s">
        <v>24</v>
      </c>
      <c r="B133" s="12">
        <v>45688</v>
      </c>
      <c r="C133" t="s">
        <v>49</v>
      </c>
      <c r="D133" s="14">
        <v>4</v>
      </c>
      <c r="E133" t="s">
        <v>54</v>
      </c>
      <c r="F133">
        <v>3</v>
      </c>
      <c r="G133">
        <v>3</v>
      </c>
      <c r="H133">
        <v>7</v>
      </c>
      <c r="I133">
        <v>6</v>
      </c>
      <c r="J133">
        <f>42+42+62</f>
        <v>146</v>
      </c>
      <c r="K133">
        <f>38+33+45</f>
        <v>116</v>
      </c>
      <c r="L133" t="s">
        <v>13</v>
      </c>
    </row>
    <row r="134" spans="1:12" x14ac:dyDescent="0.25">
      <c r="A134" t="s">
        <v>24</v>
      </c>
      <c r="B134" s="12">
        <v>45688</v>
      </c>
      <c r="C134" t="s">
        <v>50</v>
      </c>
      <c r="D134" s="14">
        <v>6</v>
      </c>
      <c r="E134" t="s">
        <v>54</v>
      </c>
      <c r="F134">
        <v>3</v>
      </c>
      <c r="G134">
        <v>2</v>
      </c>
      <c r="H134">
        <v>6</v>
      </c>
      <c r="I134">
        <v>4</v>
      </c>
      <c r="J134">
        <f>42+31+42</f>
        <v>115</v>
      </c>
      <c r="K134">
        <f>38+42+32</f>
        <v>112</v>
      </c>
      <c r="L134" t="s">
        <v>13</v>
      </c>
    </row>
    <row r="135" spans="1:12" x14ac:dyDescent="0.25">
      <c r="A135" t="s">
        <v>24</v>
      </c>
      <c r="B135" s="12">
        <v>45688</v>
      </c>
      <c r="C135" t="s">
        <v>116</v>
      </c>
      <c r="D135" s="14">
        <v>-4</v>
      </c>
      <c r="E135" t="s">
        <v>54</v>
      </c>
      <c r="F135">
        <v>3</v>
      </c>
      <c r="G135">
        <v>3</v>
      </c>
      <c r="H135">
        <v>6</v>
      </c>
      <c r="I135">
        <v>6</v>
      </c>
      <c r="J135">
        <f>42+42+42</f>
        <v>126</v>
      </c>
      <c r="K135">
        <f>26+33+32</f>
        <v>91</v>
      </c>
      <c r="L135" t="s">
        <v>13</v>
      </c>
    </row>
    <row r="136" spans="1:12" x14ac:dyDescent="0.25">
      <c r="A136" t="s">
        <v>24</v>
      </c>
      <c r="B136" s="12">
        <v>45688</v>
      </c>
      <c r="C136" t="s">
        <v>52</v>
      </c>
      <c r="D136" s="14">
        <v>10</v>
      </c>
      <c r="E136" t="s">
        <v>54</v>
      </c>
      <c r="F136">
        <v>3</v>
      </c>
      <c r="G136">
        <v>2</v>
      </c>
      <c r="H136">
        <v>7</v>
      </c>
      <c r="I136">
        <v>4</v>
      </c>
      <c r="J136">
        <f>42+31+62</f>
        <v>135</v>
      </c>
      <c r="K136">
        <f>26+42+45</f>
        <v>113</v>
      </c>
      <c r="L136" t="s">
        <v>13</v>
      </c>
    </row>
    <row r="137" spans="1:12" x14ac:dyDescent="0.25">
      <c r="A137" t="s">
        <v>24</v>
      </c>
      <c r="B137" s="12">
        <v>45688</v>
      </c>
      <c r="C137" t="s">
        <v>106</v>
      </c>
      <c r="D137" s="14">
        <v>2</v>
      </c>
      <c r="E137" t="s">
        <v>13</v>
      </c>
      <c r="F137">
        <v>3</v>
      </c>
      <c r="G137">
        <v>0</v>
      </c>
      <c r="H137">
        <v>7</v>
      </c>
      <c r="I137">
        <v>1</v>
      </c>
      <c r="J137">
        <f>38+33+45</f>
        <v>116</v>
      </c>
      <c r="K137">
        <f>42+42+62</f>
        <v>146</v>
      </c>
      <c r="L137" t="s">
        <v>54</v>
      </c>
    </row>
    <row r="138" spans="1:12" x14ac:dyDescent="0.25">
      <c r="A138" t="s">
        <v>24</v>
      </c>
      <c r="B138" s="12">
        <v>45688</v>
      </c>
      <c r="C138" t="s">
        <v>134</v>
      </c>
      <c r="D138" s="14">
        <v>12</v>
      </c>
      <c r="E138" t="s">
        <v>13</v>
      </c>
      <c r="F138">
        <v>3</v>
      </c>
      <c r="G138">
        <v>1</v>
      </c>
      <c r="H138">
        <v>6</v>
      </c>
      <c r="I138">
        <v>2</v>
      </c>
      <c r="J138">
        <f>38+42+32</f>
        <v>112</v>
      </c>
      <c r="K138">
        <f>42+31+42</f>
        <v>115</v>
      </c>
      <c r="L138" t="s">
        <v>54</v>
      </c>
    </row>
    <row r="139" spans="1:12" x14ac:dyDescent="0.25">
      <c r="A139" t="s">
        <v>24</v>
      </c>
      <c r="B139" s="12">
        <v>45688</v>
      </c>
      <c r="C139" t="s">
        <v>41</v>
      </c>
      <c r="D139" s="14">
        <v>4</v>
      </c>
      <c r="E139" t="s">
        <v>13</v>
      </c>
      <c r="F139">
        <v>3</v>
      </c>
      <c r="G139">
        <v>0</v>
      </c>
      <c r="H139">
        <v>6</v>
      </c>
      <c r="I139">
        <v>0</v>
      </c>
      <c r="J139">
        <f>26+33+32</f>
        <v>91</v>
      </c>
      <c r="K139">
        <f>42+42+42</f>
        <v>126</v>
      </c>
      <c r="L139" t="s">
        <v>54</v>
      </c>
    </row>
    <row r="140" spans="1:12" x14ac:dyDescent="0.25">
      <c r="A140" t="s">
        <v>24</v>
      </c>
      <c r="B140" s="12">
        <v>45688</v>
      </c>
      <c r="C140" t="s">
        <v>108</v>
      </c>
      <c r="D140" s="14">
        <v>6</v>
      </c>
      <c r="E140" t="s">
        <v>13</v>
      </c>
      <c r="F140">
        <v>3</v>
      </c>
      <c r="G140">
        <v>1</v>
      </c>
      <c r="H140">
        <v>7</v>
      </c>
      <c r="I140">
        <v>3</v>
      </c>
      <c r="J140">
        <f>26+42+45</f>
        <v>113</v>
      </c>
      <c r="K140">
        <f>42+31+62</f>
        <v>135</v>
      </c>
      <c r="L140" t="s">
        <v>54</v>
      </c>
    </row>
    <row r="141" spans="1:12" x14ac:dyDescent="0.25">
      <c r="A141" t="s">
        <v>24</v>
      </c>
      <c r="B141" s="12">
        <v>45702</v>
      </c>
      <c r="C141" t="s">
        <v>93</v>
      </c>
      <c r="D141" s="14">
        <v>10</v>
      </c>
      <c r="E141" t="s">
        <v>12</v>
      </c>
      <c r="F141">
        <v>3</v>
      </c>
      <c r="G141">
        <v>0</v>
      </c>
      <c r="H141">
        <v>7</v>
      </c>
      <c r="I141">
        <v>1</v>
      </c>
      <c r="J141">
        <f>28+34+58</f>
        <v>120</v>
      </c>
      <c r="K141">
        <f>42+42+48</f>
        <v>132</v>
      </c>
      <c r="L141" t="s">
        <v>53</v>
      </c>
    </row>
    <row r="142" spans="1:12" x14ac:dyDescent="0.25">
      <c r="A142" t="s">
        <v>24</v>
      </c>
      <c r="B142" s="12">
        <v>45702</v>
      </c>
      <c r="C142" t="s">
        <v>94</v>
      </c>
      <c r="D142" s="14">
        <v>12</v>
      </c>
      <c r="E142" t="s">
        <v>12</v>
      </c>
      <c r="F142">
        <v>3</v>
      </c>
      <c r="G142">
        <v>1</v>
      </c>
      <c r="H142">
        <v>7</v>
      </c>
      <c r="I142">
        <v>2</v>
      </c>
      <c r="J142">
        <f>28+35+58</f>
        <v>121</v>
      </c>
      <c r="K142">
        <f>42+42+49</f>
        <v>133</v>
      </c>
      <c r="L142" t="s">
        <v>53</v>
      </c>
    </row>
    <row r="143" spans="1:12" x14ac:dyDescent="0.25">
      <c r="A143" t="s">
        <v>24</v>
      </c>
      <c r="B143" s="12">
        <v>45702</v>
      </c>
      <c r="C143" t="s">
        <v>95</v>
      </c>
      <c r="D143" s="14">
        <v>6</v>
      </c>
      <c r="E143" t="s">
        <v>12</v>
      </c>
      <c r="F143">
        <v>3</v>
      </c>
      <c r="G143">
        <v>1</v>
      </c>
      <c r="H143">
        <v>7</v>
      </c>
      <c r="I143">
        <v>2</v>
      </c>
      <c r="J143">
        <f>30+34+58</f>
        <v>122</v>
      </c>
      <c r="K143">
        <f>42+42+49</f>
        <v>133</v>
      </c>
      <c r="L143" t="s">
        <v>53</v>
      </c>
    </row>
    <row r="144" spans="1:12" x14ac:dyDescent="0.25">
      <c r="A144" t="s">
        <v>24</v>
      </c>
      <c r="B144" s="12">
        <v>45702</v>
      </c>
      <c r="C144" t="s">
        <v>96</v>
      </c>
      <c r="D144" s="14">
        <v>12</v>
      </c>
      <c r="E144" t="s">
        <v>12</v>
      </c>
      <c r="F144">
        <v>3</v>
      </c>
      <c r="G144">
        <v>0</v>
      </c>
      <c r="H144">
        <v>7</v>
      </c>
      <c r="I144">
        <v>1</v>
      </c>
      <c r="J144">
        <f>30+35+58</f>
        <v>123</v>
      </c>
      <c r="K144">
        <f>42+42+48</f>
        <v>132</v>
      </c>
      <c r="L144" t="s">
        <v>53</v>
      </c>
    </row>
    <row r="145" spans="1:12" x14ac:dyDescent="0.25">
      <c r="A145" t="s">
        <v>24</v>
      </c>
      <c r="B145" s="12">
        <v>45702</v>
      </c>
      <c r="C145" t="s">
        <v>45</v>
      </c>
      <c r="D145" s="14">
        <v>-8</v>
      </c>
      <c r="E145" t="s">
        <v>53</v>
      </c>
      <c r="F145">
        <v>3</v>
      </c>
      <c r="G145">
        <v>3</v>
      </c>
      <c r="H145">
        <v>7</v>
      </c>
      <c r="I145">
        <v>6</v>
      </c>
      <c r="J145">
        <f>42+42+48</f>
        <v>132</v>
      </c>
      <c r="K145">
        <f>28+34+58</f>
        <v>120</v>
      </c>
      <c r="L145" t="s">
        <v>12</v>
      </c>
    </row>
    <row r="146" spans="1:12" x14ac:dyDescent="0.25">
      <c r="A146" t="s">
        <v>24</v>
      </c>
      <c r="B146" s="12">
        <v>45702</v>
      </c>
      <c r="C146" t="s">
        <v>46</v>
      </c>
      <c r="D146" s="14">
        <v>-4</v>
      </c>
      <c r="E146" t="s">
        <v>53</v>
      </c>
      <c r="F146">
        <v>3</v>
      </c>
      <c r="G146">
        <v>2</v>
      </c>
      <c r="H146">
        <v>7</v>
      </c>
      <c r="I146">
        <v>5</v>
      </c>
      <c r="J146">
        <f>42+42+49</f>
        <v>133</v>
      </c>
      <c r="K146">
        <f>28+35+58</f>
        <v>121</v>
      </c>
      <c r="L146" t="s">
        <v>12</v>
      </c>
    </row>
    <row r="147" spans="1:12" x14ac:dyDescent="0.25">
      <c r="A147" t="s">
        <v>24</v>
      </c>
      <c r="B147" s="12">
        <v>45702</v>
      </c>
      <c r="C147" t="s">
        <v>48</v>
      </c>
      <c r="D147" s="14">
        <v>-8</v>
      </c>
      <c r="E147" t="s">
        <v>53</v>
      </c>
      <c r="F147">
        <v>3</v>
      </c>
      <c r="G147">
        <v>2</v>
      </c>
      <c r="H147">
        <v>7</v>
      </c>
      <c r="I147">
        <v>5</v>
      </c>
      <c r="J147">
        <f>42+42+49</f>
        <v>133</v>
      </c>
      <c r="K147">
        <f>30+34+58</f>
        <v>122</v>
      </c>
      <c r="L147" t="s">
        <v>12</v>
      </c>
    </row>
    <row r="148" spans="1:12" x14ac:dyDescent="0.25">
      <c r="A148" t="s">
        <v>24</v>
      </c>
      <c r="B148" s="12">
        <v>45702</v>
      </c>
      <c r="C148" t="s">
        <v>47</v>
      </c>
      <c r="D148" s="14">
        <v>-8</v>
      </c>
      <c r="E148" t="s">
        <v>53</v>
      </c>
      <c r="F148">
        <v>3</v>
      </c>
      <c r="G148">
        <v>3</v>
      </c>
      <c r="H148">
        <v>7</v>
      </c>
      <c r="I148">
        <v>6</v>
      </c>
      <c r="J148">
        <f>42+42+48</f>
        <v>132</v>
      </c>
      <c r="K148">
        <f>30+35+58</f>
        <v>123</v>
      </c>
      <c r="L148" t="s">
        <v>12</v>
      </c>
    </row>
    <row r="149" spans="1:12" x14ac:dyDescent="0.25">
      <c r="A149" t="s">
        <v>24</v>
      </c>
      <c r="B149" s="12">
        <v>45708</v>
      </c>
      <c r="C149" t="s">
        <v>39</v>
      </c>
      <c r="D149" s="14">
        <v>4</v>
      </c>
      <c r="E149" t="s">
        <v>13</v>
      </c>
      <c r="F149">
        <v>3</v>
      </c>
      <c r="G149">
        <v>2</v>
      </c>
      <c r="H149">
        <v>7</v>
      </c>
      <c r="I149">
        <v>4</v>
      </c>
      <c r="J149">
        <f>40+42+57</f>
        <v>139</v>
      </c>
      <c r="K149">
        <f>42+34+55</f>
        <v>131</v>
      </c>
      <c r="L149" t="s">
        <v>18</v>
      </c>
    </row>
    <row r="150" spans="1:12" x14ac:dyDescent="0.25">
      <c r="A150" t="s">
        <v>24</v>
      </c>
      <c r="B150" s="12">
        <v>45708</v>
      </c>
      <c r="C150" t="s">
        <v>40</v>
      </c>
      <c r="D150" s="14">
        <v>8</v>
      </c>
      <c r="E150" t="s">
        <v>13</v>
      </c>
      <c r="F150">
        <v>3</v>
      </c>
      <c r="G150">
        <v>2</v>
      </c>
      <c r="H150">
        <v>6</v>
      </c>
      <c r="I150">
        <v>4</v>
      </c>
      <c r="J150">
        <f>40+42+42</f>
        <v>124</v>
      </c>
      <c r="K150">
        <f>42+36+35</f>
        <v>113</v>
      </c>
      <c r="L150" t="s">
        <v>18</v>
      </c>
    </row>
    <row r="151" spans="1:12" x14ac:dyDescent="0.25">
      <c r="A151" t="s">
        <v>24</v>
      </c>
      <c r="B151" s="12">
        <v>45708</v>
      </c>
      <c r="C151" t="s">
        <v>41</v>
      </c>
      <c r="D151" s="14">
        <v>4</v>
      </c>
      <c r="E151" t="s">
        <v>13</v>
      </c>
      <c r="F151">
        <v>3</v>
      </c>
      <c r="G151">
        <v>3</v>
      </c>
      <c r="H151">
        <v>7</v>
      </c>
      <c r="I151">
        <v>6</v>
      </c>
      <c r="J151">
        <f>59+42+42</f>
        <v>143</v>
      </c>
      <c r="K151">
        <f>58+34+35</f>
        <v>127</v>
      </c>
      <c r="L151" t="s">
        <v>18</v>
      </c>
    </row>
    <row r="152" spans="1:12" x14ac:dyDescent="0.25">
      <c r="A152" t="s">
        <v>24</v>
      </c>
      <c r="B152" s="12">
        <v>45708</v>
      </c>
      <c r="C152" t="s">
        <v>42</v>
      </c>
      <c r="D152" s="14">
        <v>6</v>
      </c>
      <c r="E152" t="s">
        <v>13</v>
      </c>
      <c r="F152">
        <v>3</v>
      </c>
      <c r="G152">
        <v>3</v>
      </c>
      <c r="H152">
        <v>8</v>
      </c>
      <c r="I152">
        <v>6</v>
      </c>
      <c r="J152">
        <f>59+42+57</f>
        <v>158</v>
      </c>
      <c r="K152">
        <f>58+36+55</f>
        <v>149</v>
      </c>
      <c r="L152" t="s">
        <v>18</v>
      </c>
    </row>
    <row r="153" spans="1:12" x14ac:dyDescent="0.25">
      <c r="A153" t="s">
        <v>24</v>
      </c>
      <c r="B153" s="12">
        <v>45708</v>
      </c>
      <c r="C153" t="s">
        <v>159</v>
      </c>
      <c r="D153" s="14">
        <v>-10</v>
      </c>
      <c r="E153" t="s">
        <v>18</v>
      </c>
      <c r="F153">
        <v>3</v>
      </c>
      <c r="G153">
        <v>1</v>
      </c>
      <c r="H153">
        <v>7</v>
      </c>
      <c r="I153">
        <v>3</v>
      </c>
      <c r="J153">
        <f>42+34+55</f>
        <v>131</v>
      </c>
      <c r="K153">
        <f>40+42+57</f>
        <v>139</v>
      </c>
      <c r="L153" t="s">
        <v>13</v>
      </c>
    </row>
    <row r="154" spans="1:12" x14ac:dyDescent="0.25">
      <c r="A154" t="s">
        <v>24</v>
      </c>
      <c r="B154" s="12">
        <v>45708</v>
      </c>
      <c r="C154" t="s">
        <v>160</v>
      </c>
      <c r="D154" s="14">
        <v>4</v>
      </c>
      <c r="E154" t="s">
        <v>18</v>
      </c>
      <c r="F154">
        <v>3</v>
      </c>
      <c r="G154">
        <v>1</v>
      </c>
      <c r="H154">
        <v>6</v>
      </c>
      <c r="I154">
        <v>2</v>
      </c>
      <c r="J154">
        <f>42+36+35</f>
        <v>113</v>
      </c>
      <c r="K154">
        <f>40+42+42</f>
        <v>124</v>
      </c>
      <c r="L154" t="s">
        <v>13</v>
      </c>
    </row>
    <row r="155" spans="1:12" x14ac:dyDescent="0.25">
      <c r="A155" t="s">
        <v>24</v>
      </c>
      <c r="B155" s="12">
        <v>45708</v>
      </c>
      <c r="C155" t="s">
        <v>133</v>
      </c>
      <c r="D155" s="14">
        <v>2</v>
      </c>
      <c r="E155" t="s">
        <v>18</v>
      </c>
      <c r="F155">
        <v>3</v>
      </c>
      <c r="G155">
        <v>0</v>
      </c>
      <c r="H155">
        <v>7</v>
      </c>
      <c r="I155">
        <v>1</v>
      </c>
      <c r="J155">
        <f>58+34+35</f>
        <v>127</v>
      </c>
      <c r="K155">
        <f>59+42+42</f>
        <v>143</v>
      </c>
      <c r="L155" t="s">
        <v>13</v>
      </c>
    </row>
    <row r="156" spans="1:12" x14ac:dyDescent="0.25">
      <c r="A156" t="s">
        <v>24</v>
      </c>
      <c r="B156" s="12">
        <v>45708</v>
      </c>
      <c r="C156" t="s">
        <v>69</v>
      </c>
      <c r="D156" s="14">
        <v>4</v>
      </c>
      <c r="E156" t="s">
        <v>18</v>
      </c>
      <c r="F156">
        <v>3</v>
      </c>
      <c r="G156">
        <v>0</v>
      </c>
      <c r="H156">
        <v>8</v>
      </c>
      <c r="I156">
        <v>2</v>
      </c>
      <c r="J156">
        <f>58+36+55</f>
        <v>149</v>
      </c>
      <c r="K156">
        <f>59+42+57</f>
        <v>158</v>
      </c>
      <c r="L156" t="s">
        <v>13</v>
      </c>
    </row>
    <row r="157" spans="1:12" x14ac:dyDescent="0.25">
      <c r="A157" t="s">
        <v>24</v>
      </c>
      <c r="B157" s="12">
        <v>45715</v>
      </c>
      <c r="C157" t="s">
        <v>34</v>
      </c>
      <c r="D157" s="14">
        <v>-2</v>
      </c>
      <c r="E157" t="s">
        <v>10</v>
      </c>
      <c r="F157">
        <v>3</v>
      </c>
      <c r="G157">
        <v>3</v>
      </c>
      <c r="H157">
        <v>8</v>
      </c>
      <c r="I157">
        <v>6</v>
      </c>
      <c r="J157">
        <f>62+42+59</f>
        <v>163</v>
      </c>
      <c r="K157">
        <f>53+35+53</f>
        <v>141</v>
      </c>
      <c r="L157" t="s">
        <v>12</v>
      </c>
    </row>
    <row r="158" spans="1:12" x14ac:dyDescent="0.25">
      <c r="A158" t="s">
        <v>24</v>
      </c>
      <c r="B158" s="12">
        <v>45715</v>
      </c>
      <c r="C158" t="s">
        <v>36</v>
      </c>
      <c r="D158" s="14">
        <v>4</v>
      </c>
      <c r="E158" t="s">
        <v>10</v>
      </c>
      <c r="F158">
        <v>3</v>
      </c>
      <c r="G158">
        <v>2</v>
      </c>
      <c r="H158">
        <v>8</v>
      </c>
      <c r="I158">
        <v>5</v>
      </c>
      <c r="J158">
        <f>62+42+49</f>
        <v>153</v>
      </c>
      <c r="K158">
        <f>53+38+58</f>
        <v>149</v>
      </c>
      <c r="L158" t="s">
        <v>12</v>
      </c>
    </row>
    <row r="159" spans="1:12" x14ac:dyDescent="0.25">
      <c r="A159" t="s">
        <v>24</v>
      </c>
      <c r="B159" s="12">
        <v>45715</v>
      </c>
      <c r="C159" t="s">
        <v>71</v>
      </c>
      <c r="D159" s="14">
        <v>-2</v>
      </c>
      <c r="E159" t="s">
        <v>10</v>
      </c>
      <c r="F159">
        <v>3</v>
      </c>
      <c r="G159">
        <v>1</v>
      </c>
      <c r="H159">
        <v>7</v>
      </c>
      <c r="I159">
        <v>3</v>
      </c>
      <c r="J159">
        <f>27+42+49</f>
        <v>118</v>
      </c>
      <c r="K159">
        <f>42+35+58</f>
        <v>135</v>
      </c>
      <c r="L159" t="s">
        <v>12</v>
      </c>
    </row>
    <row r="160" spans="1:12" x14ac:dyDescent="0.25">
      <c r="A160" t="s">
        <v>24</v>
      </c>
      <c r="B160" s="12">
        <v>45715</v>
      </c>
      <c r="C160" t="s">
        <v>38</v>
      </c>
      <c r="D160" s="14">
        <v>6</v>
      </c>
      <c r="E160" t="s">
        <v>10</v>
      </c>
      <c r="F160">
        <v>3</v>
      </c>
      <c r="G160">
        <v>2</v>
      </c>
      <c r="H160">
        <v>7</v>
      </c>
      <c r="I160">
        <v>4</v>
      </c>
      <c r="J160">
        <f>27+42+59</f>
        <v>128</v>
      </c>
      <c r="K160">
        <f>42+38+53</f>
        <v>133</v>
      </c>
      <c r="L160" t="s">
        <v>12</v>
      </c>
    </row>
    <row r="161" spans="1:12" x14ac:dyDescent="0.25">
      <c r="A161" t="s">
        <v>24</v>
      </c>
      <c r="B161" s="12">
        <v>45715</v>
      </c>
      <c r="C161" t="s">
        <v>132</v>
      </c>
      <c r="D161" s="14">
        <v>6</v>
      </c>
      <c r="E161" t="s">
        <v>12</v>
      </c>
      <c r="F161">
        <v>3</v>
      </c>
      <c r="G161">
        <v>0</v>
      </c>
      <c r="H161">
        <v>8</v>
      </c>
      <c r="I161">
        <v>2</v>
      </c>
      <c r="J161">
        <f>53+35+53</f>
        <v>141</v>
      </c>
      <c r="K161">
        <f>62+42+59</f>
        <v>163</v>
      </c>
      <c r="L161" t="s">
        <v>10</v>
      </c>
    </row>
    <row r="162" spans="1:12" x14ac:dyDescent="0.25">
      <c r="A162" t="s">
        <v>24</v>
      </c>
      <c r="B162" s="12">
        <v>45715</v>
      </c>
      <c r="C162" t="s">
        <v>135</v>
      </c>
      <c r="D162" s="14">
        <v>8</v>
      </c>
      <c r="E162" t="s">
        <v>12</v>
      </c>
      <c r="F162">
        <v>3</v>
      </c>
      <c r="G162">
        <v>1</v>
      </c>
      <c r="H162">
        <v>8</v>
      </c>
      <c r="I162">
        <v>3</v>
      </c>
      <c r="J162">
        <f>53+38+58</f>
        <v>149</v>
      </c>
      <c r="K162">
        <f>62+42+49</f>
        <v>153</v>
      </c>
      <c r="L162" t="s">
        <v>10</v>
      </c>
    </row>
    <row r="163" spans="1:12" x14ac:dyDescent="0.25">
      <c r="A163" t="s">
        <v>24</v>
      </c>
      <c r="B163" s="12">
        <v>45715</v>
      </c>
      <c r="C163" t="s">
        <v>112</v>
      </c>
      <c r="D163" s="14">
        <v>4</v>
      </c>
      <c r="E163" t="s">
        <v>12</v>
      </c>
      <c r="F163">
        <v>3</v>
      </c>
      <c r="G163">
        <v>2</v>
      </c>
      <c r="H163">
        <v>7</v>
      </c>
      <c r="I163">
        <v>4</v>
      </c>
      <c r="J163">
        <f>42+35+58</f>
        <v>135</v>
      </c>
      <c r="K163">
        <f>27+42+49</f>
        <v>118</v>
      </c>
      <c r="L163" t="s">
        <v>10</v>
      </c>
    </row>
    <row r="164" spans="1:12" x14ac:dyDescent="0.25">
      <c r="A164" t="s">
        <v>24</v>
      </c>
      <c r="B164" s="12">
        <v>45715</v>
      </c>
      <c r="C164" t="s">
        <v>121</v>
      </c>
      <c r="D164" s="14">
        <v>8</v>
      </c>
      <c r="E164" t="s">
        <v>12</v>
      </c>
      <c r="F164">
        <v>3</v>
      </c>
      <c r="G164">
        <v>1</v>
      </c>
      <c r="H164">
        <v>7</v>
      </c>
      <c r="I164">
        <v>3</v>
      </c>
      <c r="J164">
        <f>42+38+53</f>
        <v>133</v>
      </c>
      <c r="K164">
        <f>27+42+59</f>
        <v>128</v>
      </c>
      <c r="L164" t="s">
        <v>10</v>
      </c>
    </row>
    <row r="165" spans="1:12" x14ac:dyDescent="0.25">
      <c r="A165" t="s">
        <v>24</v>
      </c>
      <c r="B165" s="12">
        <v>45723</v>
      </c>
      <c r="C165" t="s">
        <v>45</v>
      </c>
      <c r="D165" s="14">
        <v>-8</v>
      </c>
      <c r="E165" t="s">
        <v>53</v>
      </c>
      <c r="F165">
        <v>3</v>
      </c>
      <c r="G165">
        <v>3</v>
      </c>
      <c r="H165">
        <v>6</v>
      </c>
      <c r="I165">
        <v>6</v>
      </c>
      <c r="J165">
        <f>42+42+42</f>
        <v>126</v>
      </c>
      <c r="K165">
        <f>28+26+31</f>
        <v>85</v>
      </c>
      <c r="L165" t="s">
        <v>18</v>
      </c>
    </row>
    <row r="166" spans="1:12" x14ac:dyDescent="0.25">
      <c r="A166" t="s">
        <v>24</v>
      </c>
      <c r="B166" s="12">
        <v>45723</v>
      </c>
      <c r="C166" t="s">
        <v>46</v>
      </c>
      <c r="D166" s="14">
        <v>-4</v>
      </c>
      <c r="E166" t="s">
        <v>53</v>
      </c>
      <c r="F166">
        <v>3</v>
      </c>
      <c r="G166">
        <v>2</v>
      </c>
      <c r="H166">
        <v>7</v>
      </c>
      <c r="I166">
        <v>4</v>
      </c>
      <c r="J166">
        <f>42+28+54</f>
        <v>124</v>
      </c>
      <c r="K166">
        <f>28+42+54</f>
        <v>124</v>
      </c>
      <c r="L166" t="s">
        <v>18</v>
      </c>
    </row>
    <row r="167" spans="1:12" x14ac:dyDescent="0.25">
      <c r="A167" t="s">
        <v>24</v>
      </c>
      <c r="B167" s="12">
        <v>45723</v>
      </c>
      <c r="C167" t="s">
        <v>48</v>
      </c>
      <c r="D167" s="14">
        <v>-8</v>
      </c>
      <c r="E167" t="s">
        <v>53</v>
      </c>
      <c r="F167">
        <v>3</v>
      </c>
      <c r="G167">
        <v>2</v>
      </c>
      <c r="H167">
        <v>8</v>
      </c>
      <c r="I167">
        <v>5</v>
      </c>
      <c r="J167">
        <f>48+42+54</f>
        <v>144</v>
      </c>
      <c r="K167">
        <f>59+26+54</f>
        <v>139</v>
      </c>
      <c r="L167" t="s">
        <v>18</v>
      </c>
    </row>
    <row r="168" spans="1:12" x14ac:dyDescent="0.25">
      <c r="A168" t="s">
        <v>24</v>
      </c>
      <c r="B168" s="12">
        <v>45723</v>
      </c>
      <c r="C168" t="s">
        <v>47</v>
      </c>
      <c r="D168" s="14">
        <v>-8</v>
      </c>
      <c r="E168" t="s">
        <v>53</v>
      </c>
      <c r="F168">
        <v>3</v>
      </c>
      <c r="G168">
        <v>1</v>
      </c>
      <c r="H168">
        <v>7</v>
      </c>
      <c r="I168">
        <v>3</v>
      </c>
      <c r="J168">
        <f>48+28+42</f>
        <v>118</v>
      </c>
      <c r="K168">
        <f>59+42+31</f>
        <v>132</v>
      </c>
      <c r="L168" t="s">
        <v>18</v>
      </c>
    </row>
    <row r="169" spans="1:12" x14ac:dyDescent="0.25">
      <c r="A169" t="s">
        <v>24</v>
      </c>
      <c r="B169" s="12">
        <v>45723</v>
      </c>
      <c r="C169" t="s">
        <v>67</v>
      </c>
      <c r="D169" s="14">
        <v>0</v>
      </c>
      <c r="E169" t="s">
        <v>18</v>
      </c>
      <c r="F169">
        <v>3</v>
      </c>
      <c r="G169">
        <v>0</v>
      </c>
      <c r="H169">
        <v>6</v>
      </c>
      <c r="I169">
        <v>0</v>
      </c>
      <c r="J169">
        <f>28+26+31</f>
        <v>85</v>
      </c>
      <c r="K169">
        <f>42+42+42</f>
        <v>126</v>
      </c>
      <c r="L169" t="s">
        <v>53</v>
      </c>
    </row>
    <row r="170" spans="1:12" x14ac:dyDescent="0.25">
      <c r="A170" t="s">
        <v>24</v>
      </c>
      <c r="B170" s="12">
        <v>45723</v>
      </c>
      <c r="C170" t="s">
        <v>105</v>
      </c>
      <c r="D170" s="14">
        <v>2</v>
      </c>
      <c r="E170" t="s">
        <v>18</v>
      </c>
      <c r="F170">
        <v>3</v>
      </c>
      <c r="G170">
        <v>1</v>
      </c>
      <c r="H170">
        <v>7</v>
      </c>
      <c r="I170">
        <v>3</v>
      </c>
      <c r="J170">
        <f>28+42+54</f>
        <v>124</v>
      </c>
      <c r="K170">
        <f>42+28+54</f>
        <v>124</v>
      </c>
      <c r="L170" t="s">
        <v>53</v>
      </c>
    </row>
    <row r="171" spans="1:12" x14ac:dyDescent="0.25">
      <c r="A171" t="s">
        <v>24</v>
      </c>
      <c r="B171" s="12">
        <v>45723</v>
      </c>
      <c r="C171" t="s">
        <v>69</v>
      </c>
      <c r="D171" s="14">
        <v>4</v>
      </c>
      <c r="E171" t="s">
        <v>18</v>
      </c>
      <c r="F171">
        <v>3</v>
      </c>
      <c r="G171">
        <v>1</v>
      </c>
      <c r="H171">
        <v>8</v>
      </c>
      <c r="I171">
        <v>3</v>
      </c>
      <c r="J171">
        <f>59+26+54</f>
        <v>139</v>
      </c>
      <c r="K171">
        <f>48+42+54</f>
        <v>144</v>
      </c>
      <c r="L171" t="s">
        <v>53</v>
      </c>
    </row>
    <row r="172" spans="1:12" x14ac:dyDescent="0.25">
      <c r="A172" t="s">
        <v>24</v>
      </c>
      <c r="B172" s="12">
        <v>45723</v>
      </c>
      <c r="C172" t="s">
        <v>103</v>
      </c>
      <c r="D172" s="14">
        <v>4</v>
      </c>
      <c r="E172" t="s">
        <v>18</v>
      </c>
      <c r="F172">
        <v>3</v>
      </c>
      <c r="G172">
        <v>2</v>
      </c>
      <c r="H172">
        <v>7</v>
      </c>
      <c r="I172">
        <v>4</v>
      </c>
      <c r="J172">
        <f>59+42+31</f>
        <v>132</v>
      </c>
      <c r="K172">
        <f>48+28+42</f>
        <v>118</v>
      </c>
      <c r="L172" t="s">
        <v>53</v>
      </c>
    </row>
    <row r="173" spans="1:12" x14ac:dyDescent="0.25">
      <c r="A173" t="s">
        <v>24</v>
      </c>
      <c r="B173" s="12">
        <v>45728</v>
      </c>
      <c r="C173" t="s">
        <v>39</v>
      </c>
      <c r="D173" s="14">
        <v>4</v>
      </c>
      <c r="E173" t="s">
        <v>13</v>
      </c>
      <c r="F173">
        <v>3</v>
      </c>
      <c r="G173">
        <v>3</v>
      </c>
      <c r="H173">
        <v>6</v>
      </c>
      <c r="I173">
        <v>6</v>
      </c>
      <c r="J173">
        <f>42+42+42</f>
        <v>126</v>
      </c>
      <c r="K173">
        <f>29+21+31</f>
        <v>81</v>
      </c>
      <c r="L173" t="s">
        <v>12</v>
      </c>
    </row>
    <row r="174" spans="1:12" x14ac:dyDescent="0.25">
      <c r="A174" t="s">
        <v>24</v>
      </c>
      <c r="B174" s="12">
        <v>45728</v>
      </c>
      <c r="C174" t="s">
        <v>40</v>
      </c>
      <c r="D174" s="14">
        <v>8</v>
      </c>
      <c r="E174" t="s">
        <v>13</v>
      </c>
      <c r="F174">
        <v>3</v>
      </c>
      <c r="G174">
        <v>3</v>
      </c>
      <c r="H174">
        <v>8</v>
      </c>
      <c r="I174">
        <v>6</v>
      </c>
      <c r="J174">
        <f>42+59+62</f>
        <v>163</v>
      </c>
      <c r="K174">
        <f>29+52+55</f>
        <v>136</v>
      </c>
      <c r="L174" t="s">
        <v>12</v>
      </c>
    </row>
    <row r="175" spans="1:12" x14ac:dyDescent="0.25">
      <c r="A175" t="s">
        <v>24</v>
      </c>
      <c r="B175" s="12">
        <v>45728</v>
      </c>
      <c r="C175" t="s">
        <v>42</v>
      </c>
      <c r="D175" s="14">
        <v>6</v>
      </c>
      <c r="E175" t="s">
        <v>13</v>
      </c>
      <c r="F175">
        <v>3</v>
      </c>
      <c r="G175">
        <v>3</v>
      </c>
      <c r="H175">
        <v>8</v>
      </c>
      <c r="I175">
        <v>6</v>
      </c>
      <c r="J175">
        <f>62+42+62</f>
        <v>166</v>
      </c>
      <c r="K175">
        <f>50+21+55</f>
        <v>126</v>
      </c>
      <c r="L175" t="s">
        <v>12</v>
      </c>
    </row>
    <row r="176" spans="1:12" x14ac:dyDescent="0.25">
      <c r="A176" t="s">
        <v>24</v>
      </c>
      <c r="B176" s="12">
        <v>45728</v>
      </c>
      <c r="C176" t="s">
        <v>107</v>
      </c>
      <c r="D176" s="14">
        <v>8</v>
      </c>
      <c r="E176" t="s">
        <v>13</v>
      </c>
      <c r="F176">
        <v>3</v>
      </c>
      <c r="G176">
        <v>3</v>
      </c>
      <c r="H176">
        <v>8</v>
      </c>
      <c r="I176">
        <v>6</v>
      </c>
      <c r="J176">
        <f>62+59+42</f>
        <v>163</v>
      </c>
      <c r="K176">
        <f>50+52+31</f>
        <v>133</v>
      </c>
      <c r="L176" t="s">
        <v>12</v>
      </c>
    </row>
    <row r="177" spans="1:12" x14ac:dyDescent="0.25">
      <c r="A177" t="s">
        <v>24</v>
      </c>
      <c r="B177" s="12">
        <v>45728</v>
      </c>
      <c r="C177" t="s">
        <v>132</v>
      </c>
      <c r="D177" s="14">
        <v>6</v>
      </c>
      <c r="E177" t="s">
        <v>12</v>
      </c>
      <c r="F177">
        <v>3</v>
      </c>
      <c r="G177">
        <v>0</v>
      </c>
      <c r="H177">
        <v>6</v>
      </c>
      <c r="I177">
        <v>0</v>
      </c>
      <c r="J177">
        <f>29+21+31</f>
        <v>81</v>
      </c>
      <c r="K177">
        <f>42+42+42</f>
        <v>126</v>
      </c>
      <c r="L177" t="s">
        <v>13</v>
      </c>
    </row>
    <row r="178" spans="1:12" x14ac:dyDescent="0.25">
      <c r="A178" t="s">
        <v>24</v>
      </c>
      <c r="B178" s="12">
        <v>45728</v>
      </c>
      <c r="C178" t="s">
        <v>137</v>
      </c>
      <c r="D178" s="14">
        <v>12</v>
      </c>
      <c r="E178" t="s">
        <v>12</v>
      </c>
      <c r="F178">
        <v>3</v>
      </c>
      <c r="G178">
        <v>0</v>
      </c>
      <c r="H178">
        <v>8</v>
      </c>
      <c r="I178">
        <v>2</v>
      </c>
      <c r="J178">
        <f>29+52+55</f>
        <v>136</v>
      </c>
      <c r="K178">
        <f>42+59+62</f>
        <v>163</v>
      </c>
      <c r="L178" t="s">
        <v>13</v>
      </c>
    </row>
    <row r="179" spans="1:12" x14ac:dyDescent="0.25">
      <c r="A179" t="s">
        <v>24</v>
      </c>
      <c r="B179" s="12">
        <v>45728</v>
      </c>
      <c r="C179" t="s">
        <v>122</v>
      </c>
      <c r="D179" s="14">
        <v>12</v>
      </c>
      <c r="E179" t="s">
        <v>12</v>
      </c>
      <c r="F179">
        <v>3</v>
      </c>
      <c r="G179">
        <v>0</v>
      </c>
      <c r="H179">
        <v>8</v>
      </c>
      <c r="I179">
        <v>2</v>
      </c>
      <c r="J179">
        <f>50+21+55</f>
        <v>126</v>
      </c>
      <c r="K179">
        <f>62+42+62</f>
        <v>166</v>
      </c>
      <c r="L179" t="s">
        <v>13</v>
      </c>
    </row>
    <row r="180" spans="1:12" x14ac:dyDescent="0.25">
      <c r="A180" t="s">
        <v>24</v>
      </c>
      <c r="B180" s="12">
        <v>45728</v>
      </c>
      <c r="C180" t="s">
        <v>96</v>
      </c>
      <c r="D180" s="14">
        <v>12</v>
      </c>
      <c r="E180" t="s">
        <v>12</v>
      </c>
      <c r="F180">
        <v>3</v>
      </c>
      <c r="G180">
        <v>0</v>
      </c>
      <c r="H180">
        <v>8</v>
      </c>
      <c r="I180">
        <v>2</v>
      </c>
      <c r="J180">
        <f>50+52+31</f>
        <v>133</v>
      </c>
      <c r="K180">
        <f>62+59+42</f>
        <v>163</v>
      </c>
      <c r="L180" t="s">
        <v>13</v>
      </c>
    </row>
    <row r="181" spans="1:12" x14ac:dyDescent="0.25">
      <c r="A181" t="s">
        <v>24</v>
      </c>
      <c r="B181" s="12">
        <v>45730</v>
      </c>
      <c r="C181" t="s">
        <v>45</v>
      </c>
      <c r="D181" s="14">
        <v>-8</v>
      </c>
      <c r="E181" t="s">
        <v>53</v>
      </c>
      <c r="F181">
        <v>3</v>
      </c>
      <c r="G181">
        <v>3</v>
      </c>
      <c r="H181">
        <v>6</v>
      </c>
      <c r="I181">
        <v>6</v>
      </c>
      <c r="J181">
        <f>42+42+42</f>
        <v>126</v>
      </c>
      <c r="K181">
        <f>30+27+21</f>
        <v>78</v>
      </c>
      <c r="L181" t="s">
        <v>10</v>
      </c>
    </row>
    <row r="182" spans="1:12" x14ac:dyDescent="0.25">
      <c r="A182" t="s">
        <v>24</v>
      </c>
      <c r="B182" s="12">
        <v>45730</v>
      </c>
      <c r="C182" t="s">
        <v>46</v>
      </c>
      <c r="D182" s="14">
        <v>-4</v>
      </c>
      <c r="E182" t="s">
        <v>53</v>
      </c>
      <c r="F182">
        <v>3</v>
      </c>
      <c r="G182">
        <v>3</v>
      </c>
      <c r="H182">
        <v>7</v>
      </c>
      <c r="I182">
        <v>6</v>
      </c>
      <c r="J182">
        <f>42+42+58</f>
        <v>142</v>
      </c>
      <c r="K182">
        <f>30+25+54</f>
        <v>109</v>
      </c>
      <c r="L182" t="s">
        <v>10</v>
      </c>
    </row>
    <row r="183" spans="1:12" x14ac:dyDescent="0.25">
      <c r="A183" t="s">
        <v>24</v>
      </c>
      <c r="B183" s="12">
        <v>45730</v>
      </c>
      <c r="C183" t="s">
        <v>48</v>
      </c>
      <c r="D183" s="14">
        <v>-8</v>
      </c>
      <c r="E183" t="s">
        <v>53</v>
      </c>
      <c r="F183">
        <v>3</v>
      </c>
      <c r="G183">
        <v>3</v>
      </c>
      <c r="H183">
        <v>7</v>
      </c>
      <c r="I183">
        <v>6</v>
      </c>
      <c r="J183">
        <f>42+42+58</f>
        <v>142</v>
      </c>
      <c r="K183">
        <f>33+27+54</f>
        <v>114</v>
      </c>
      <c r="L183" t="s">
        <v>10</v>
      </c>
    </row>
    <row r="184" spans="1:12" x14ac:dyDescent="0.25">
      <c r="A184" t="s">
        <v>24</v>
      </c>
      <c r="B184" s="12">
        <v>45730</v>
      </c>
      <c r="C184" t="s">
        <v>51</v>
      </c>
      <c r="D184" s="14">
        <v>-4</v>
      </c>
      <c r="E184" t="s">
        <v>53</v>
      </c>
      <c r="F184">
        <v>3</v>
      </c>
      <c r="G184">
        <v>3</v>
      </c>
      <c r="H184">
        <v>6</v>
      </c>
      <c r="I184">
        <v>6</v>
      </c>
      <c r="J184">
        <f>42+42+42</f>
        <v>126</v>
      </c>
      <c r="K184">
        <f>33+25+21</f>
        <v>79</v>
      </c>
      <c r="L184" t="s">
        <v>10</v>
      </c>
    </row>
    <row r="185" spans="1:12" x14ac:dyDescent="0.25">
      <c r="A185" t="s">
        <v>24</v>
      </c>
      <c r="B185" s="12">
        <v>45730</v>
      </c>
      <c r="C185" t="s">
        <v>34</v>
      </c>
      <c r="D185" s="14">
        <v>-2</v>
      </c>
      <c r="E185" t="s">
        <v>10</v>
      </c>
      <c r="F185">
        <v>3</v>
      </c>
      <c r="G185">
        <v>0</v>
      </c>
      <c r="H185">
        <v>6</v>
      </c>
      <c r="I185">
        <v>0</v>
      </c>
      <c r="J185">
        <f>30+27+21</f>
        <v>78</v>
      </c>
      <c r="K185">
        <f>42+42+42</f>
        <v>126</v>
      </c>
      <c r="L185" t="s">
        <v>53</v>
      </c>
    </row>
    <row r="186" spans="1:12" x14ac:dyDescent="0.25">
      <c r="A186" t="s">
        <v>24</v>
      </c>
      <c r="B186" s="12">
        <v>45730</v>
      </c>
      <c r="C186" t="s">
        <v>36</v>
      </c>
      <c r="D186" s="14">
        <v>4</v>
      </c>
      <c r="E186" t="s">
        <v>10</v>
      </c>
      <c r="F186">
        <v>3</v>
      </c>
      <c r="G186">
        <v>0</v>
      </c>
      <c r="H186">
        <v>7</v>
      </c>
      <c r="I186">
        <v>1</v>
      </c>
      <c r="J186">
        <f>30+25+54</f>
        <v>109</v>
      </c>
      <c r="K186">
        <f>42+42+58</f>
        <v>142</v>
      </c>
      <c r="L186" t="s">
        <v>53</v>
      </c>
    </row>
    <row r="187" spans="1:12" x14ac:dyDescent="0.25">
      <c r="A187" t="s">
        <v>24</v>
      </c>
      <c r="B187" s="12">
        <v>45730</v>
      </c>
      <c r="C187" t="s">
        <v>143</v>
      </c>
      <c r="D187" s="14">
        <v>-2</v>
      </c>
      <c r="E187" t="s">
        <v>10</v>
      </c>
      <c r="F187">
        <v>3</v>
      </c>
      <c r="G187">
        <v>0</v>
      </c>
      <c r="H187">
        <v>7</v>
      </c>
      <c r="I187">
        <v>1</v>
      </c>
      <c r="J187">
        <f>33+27+54</f>
        <v>114</v>
      </c>
      <c r="K187">
        <f>42+42+58</f>
        <v>142</v>
      </c>
      <c r="L187" t="s">
        <v>53</v>
      </c>
    </row>
    <row r="188" spans="1:12" x14ac:dyDescent="0.25">
      <c r="A188" t="s">
        <v>24</v>
      </c>
      <c r="B188" s="12">
        <v>45730</v>
      </c>
      <c r="C188" t="s">
        <v>117</v>
      </c>
      <c r="D188" s="14">
        <v>2</v>
      </c>
      <c r="E188" t="s">
        <v>10</v>
      </c>
      <c r="F188">
        <v>3</v>
      </c>
      <c r="G188">
        <v>0</v>
      </c>
      <c r="H188">
        <v>6</v>
      </c>
      <c r="I188">
        <v>0</v>
      </c>
      <c r="J188">
        <f>33+25+21</f>
        <v>79</v>
      </c>
      <c r="K188">
        <f>42+42+42</f>
        <v>126</v>
      </c>
      <c r="L188" t="s">
        <v>53</v>
      </c>
    </row>
    <row r="189" spans="1:12" x14ac:dyDescent="0.25">
      <c r="A189" t="s">
        <v>24</v>
      </c>
      <c r="B189" s="12">
        <v>45732</v>
      </c>
      <c r="C189" t="s">
        <v>68</v>
      </c>
      <c r="D189" s="14">
        <v>0</v>
      </c>
      <c r="E189" t="s">
        <v>18</v>
      </c>
      <c r="F189">
        <v>3</v>
      </c>
      <c r="G189">
        <v>1</v>
      </c>
      <c r="H189">
        <v>8</v>
      </c>
      <c r="I189">
        <v>3</v>
      </c>
      <c r="J189">
        <f>62+34+55</f>
        <v>151</v>
      </c>
      <c r="K189">
        <f>55+42+61</f>
        <v>158</v>
      </c>
      <c r="L189" t="s">
        <v>54</v>
      </c>
    </row>
    <row r="190" spans="1:12" x14ac:dyDescent="0.25">
      <c r="A190" t="s">
        <v>24</v>
      </c>
      <c r="B190" s="12">
        <v>45732</v>
      </c>
      <c r="C190" t="s">
        <v>105</v>
      </c>
      <c r="D190" s="14">
        <v>2</v>
      </c>
      <c r="E190" t="s">
        <v>18</v>
      </c>
      <c r="F190">
        <v>3</v>
      </c>
      <c r="G190">
        <v>2</v>
      </c>
      <c r="H190">
        <v>8</v>
      </c>
      <c r="I190">
        <v>5</v>
      </c>
      <c r="J190">
        <f>62+42+54</f>
        <v>158</v>
      </c>
      <c r="K190">
        <f>55+33+55</f>
        <v>143</v>
      </c>
      <c r="L190" t="s">
        <v>54</v>
      </c>
    </row>
    <row r="191" spans="1:12" x14ac:dyDescent="0.25">
      <c r="A191" t="s">
        <v>24</v>
      </c>
      <c r="B191" s="12">
        <v>45732</v>
      </c>
      <c r="C191" t="s">
        <v>133</v>
      </c>
      <c r="D191" s="14">
        <v>2</v>
      </c>
      <c r="E191" t="s">
        <v>18</v>
      </c>
      <c r="F191">
        <v>3</v>
      </c>
      <c r="G191">
        <v>0</v>
      </c>
      <c r="H191">
        <v>8</v>
      </c>
      <c r="I191">
        <v>2</v>
      </c>
      <c r="J191">
        <f>55+34+54</f>
        <v>143</v>
      </c>
      <c r="K191">
        <f>56+42+55</f>
        <v>153</v>
      </c>
      <c r="L191" t="s">
        <v>54</v>
      </c>
    </row>
    <row r="192" spans="1:12" x14ac:dyDescent="0.25">
      <c r="A192" t="s">
        <v>24</v>
      </c>
      <c r="B192" s="12">
        <v>45732</v>
      </c>
      <c r="C192" t="s">
        <v>103</v>
      </c>
      <c r="D192" s="14">
        <v>4</v>
      </c>
      <c r="E192" t="s">
        <v>18</v>
      </c>
      <c r="F192">
        <v>3</v>
      </c>
      <c r="G192">
        <v>1</v>
      </c>
      <c r="H192">
        <v>8</v>
      </c>
      <c r="I192">
        <v>4</v>
      </c>
      <c r="J192">
        <f>55+42+55</f>
        <v>152</v>
      </c>
      <c r="K192">
        <f>56+33+61</f>
        <v>150</v>
      </c>
      <c r="L192" t="s">
        <v>54</v>
      </c>
    </row>
    <row r="193" spans="1:12" x14ac:dyDescent="0.25">
      <c r="A193" t="s">
        <v>24</v>
      </c>
      <c r="B193" s="12">
        <v>45732</v>
      </c>
      <c r="C193" t="s">
        <v>49</v>
      </c>
      <c r="D193" s="14">
        <v>4</v>
      </c>
      <c r="E193" t="s">
        <v>54</v>
      </c>
      <c r="F193">
        <v>3</v>
      </c>
      <c r="G193">
        <v>2</v>
      </c>
      <c r="H193">
        <v>8</v>
      </c>
      <c r="I193">
        <v>5</v>
      </c>
      <c r="J193">
        <f>55+42+61</f>
        <v>158</v>
      </c>
      <c r="K193">
        <f>62+34+55</f>
        <v>151</v>
      </c>
      <c r="L193" t="s">
        <v>18</v>
      </c>
    </row>
    <row r="194" spans="1:12" x14ac:dyDescent="0.25">
      <c r="A194" t="s">
        <v>24</v>
      </c>
      <c r="B194" s="12">
        <v>45732</v>
      </c>
      <c r="C194" t="s">
        <v>62</v>
      </c>
      <c r="D194" s="14">
        <v>4</v>
      </c>
      <c r="E194" t="s">
        <v>54</v>
      </c>
      <c r="F194">
        <v>3</v>
      </c>
      <c r="G194">
        <v>1</v>
      </c>
      <c r="H194">
        <v>8</v>
      </c>
      <c r="I194">
        <v>3</v>
      </c>
      <c r="J194">
        <f>55+33+55</f>
        <v>143</v>
      </c>
      <c r="K194">
        <f>62+42+54</f>
        <v>158</v>
      </c>
      <c r="L194" t="s">
        <v>18</v>
      </c>
    </row>
    <row r="195" spans="1:12" x14ac:dyDescent="0.25">
      <c r="A195" t="s">
        <v>24</v>
      </c>
      <c r="B195" s="12">
        <v>45732</v>
      </c>
      <c r="C195" t="s">
        <v>51</v>
      </c>
      <c r="D195" s="14">
        <v>-4</v>
      </c>
      <c r="E195" t="s">
        <v>54</v>
      </c>
      <c r="F195">
        <v>3</v>
      </c>
      <c r="G195">
        <v>3</v>
      </c>
      <c r="H195">
        <v>8</v>
      </c>
      <c r="I195">
        <v>6</v>
      </c>
      <c r="J195">
        <f>56+42+55</f>
        <v>153</v>
      </c>
      <c r="K195">
        <f>55+34+54</f>
        <v>143</v>
      </c>
      <c r="L195" t="s">
        <v>18</v>
      </c>
    </row>
    <row r="196" spans="1:12" x14ac:dyDescent="0.25">
      <c r="A196" t="s">
        <v>24</v>
      </c>
      <c r="B196" s="12">
        <v>45732</v>
      </c>
      <c r="C196" t="s">
        <v>116</v>
      </c>
      <c r="D196" s="14">
        <v>-4</v>
      </c>
      <c r="E196" t="s">
        <v>54</v>
      </c>
      <c r="F196">
        <v>3</v>
      </c>
      <c r="G196">
        <v>2</v>
      </c>
      <c r="H196">
        <v>8</v>
      </c>
      <c r="I196">
        <v>4</v>
      </c>
      <c r="J196">
        <f>56+33+61</f>
        <v>150</v>
      </c>
      <c r="K196">
        <f>55+42+55</f>
        <v>152</v>
      </c>
      <c r="L196" t="s">
        <v>18</v>
      </c>
    </row>
    <row r="197" spans="1:12" x14ac:dyDescent="0.25">
      <c r="A197" t="s">
        <v>24</v>
      </c>
      <c r="B197" s="12">
        <v>45743</v>
      </c>
      <c r="C197" t="s">
        <v>34</v>
      </c>
      <c r="D197" s="14">
        <v>-2</v>
      </c>
      <c r="E197" t="s">
        <v>10</v>
      </c>
      <c r="F197">
        <v>3</v>
      </c>
      <c r="G197">
        <v>2</v>
      </c>
      <c r="H197">
        <v>8</v>
      </c>
      <c r="I197">
        <v>5</v>
      </c>
      <c r="J197">
        <f>59+42+55</f>
        <v>156</v>
      </c>
      <c r="K197">
        <f>58+38+43</f>
        <v>139</v>
      </c>
      <c r="L197" t="s">
        <v>18</v>
      </c>
    </row>
    <row r="198" spans="1:12" x14ac:dyDescent="0.25">
      <c r="A198" t="s">
        <v>24</v>
      </c>
      <c r="B198" s="12">
        <v>45743</v>
      </c>
      <c r="C198" t="s">
        <v>36</v>
      </c>
      <c r="D198" s="14">
        <v>4</v>
      </c>
      <c r="E198" t="s">
        <v>10</v>
      </c>
      <c r="F198">
        <v>3</v>
      </c>
      <c r="G198">
        <v>0</v>
      </c>
      <c r="H198">
        <v>7</v>
      </c>
      <c r="I198">
        <v>1</v>
      </c>
      <c r="J198">
        <f>59+37+31</f>
        <v>127</v>
      </c>
      <c r="K198">
        <f>58+42+42</f>
        <v>142</v>
      </c>
      <c r="L198" t="s">
        <v>18</v>
      </c>
    </row>
    <row r="199" spans="1:12" x14ac:dyDescent="0.25">
      <c r="A199" t="s">
        <v>24</v>
      </c>
      <c r="B199" s="12">
        <v>45743</v>
      </c>
      <c r="C199" t="s">
        <v>58</v>
      </c>
      <c r="D199" s="14">
        <v>0</v>
      </c>
      <c r="E199" t="s">
        <v>10</v>
      </c>
      <c r="F199">
        <v>3</v>
      </c>
      <c r="G199">
        <v>2</v>
      </c>
      <c r="H199">
        <v>7</v>
      </c>
      <c r="I199">
        <v>4</v>
      </c>
      <c r="J199">
        <f>55+42+31</f>
        <v>128</v>
      </c>
      <c r="K199">
        <f>59+38+42</f>
        <v>139</v>
      </c>
      <c r="L199" t="s">
        <v>18</v>
      </c>
    </row>
    <row r="200" spans="1:12" x14ac:dyDescent="0.25">
      <c r="A200" t="s">
        <v>24</v>
      </c>
      <c r="B200" s="12">
        <v>45743</v>
      </c>
      <c r="C200" t="s">
        <v>37</v>
      </c>
      <c r="D200" s="14">
        <v>2</v>
      </c>
      <c r="E200" t="s">
        <v>10</v>
      </c>
      <c r="F200">
        <v>3</v>
      </c>
      <c r="G200">
        <v>2</v>
      </c>
      <c r="H200">
        <v>8</v>
      </c>
      <c r="I200">
        <v>4</v>
      </c>
      <c r="J200">
        <f>55+37+55</f>
        <v>147</v>
      </c>
      <c r="K200">
        <f>59+42+43</f>
        <v>144</v>
      </c>
      <c r="L200" t="s">
        <v>18</v>
      </c>
    </row>
    <row r="201" spans="1:12" x14ac:dyDescent="0.25">
      <c r="A201" t="s">
        <v>24</v>
      </c>
      <c r="B201" s="12">
        <v>45743</v>
      </c>
      <c r="C201" t="s">
        <v>105</v>
      </c>
      <c r="D201" s="14">
        <v>2</v>
      </c>
      <c r="E201" t="s">
        <v>18</v>
      </c>
      <c r="F201">
        <v>3</v>
      </c>
      <c r="G201">
        <v>1</v>
      </c>
      <c r="H201">
        <v>8</v>
      </c>
      <c r="I201">
        <v>3</v>
      </c>
      <c r="J201">
        <f>58+38+43</f>
        <v>139</v>
      </c>
      <c r="K201">
        <f>59+42+55</f>
        <v>156</v>
      </c>
      <c r="L201" t="s">
        <v>10</v>
      </c>
    </row>
    <row r="202" spans="1:12" x14ac:dyDescent="0.25">
      <c r="A202" t="s">
        <v>24</v>
      </c>
      <c r="B202" s="12">
        <v>45743</v>
      </c>
      <c r="C202" t="s">
        <v>160</v>
      </c>
      <c r="D202" s="14">
        <v>4</v>
      </c>
      <c r="E202" t="s">
        <v>18</v>
      </c>
      <c r="F202">
        <v>3</v>
      </c>
      <c r="G202">
        <v>3</v>
      </c>
      <c r="H202">
        <v>7</v>
      </c>
      <c r="I202">
        <v>6</v>
      </c>
      <c r="J202">
        <f>58+42+42</f>
        <v>142</v>
      </c>
      <c r="K202">
        <f>59+37+31</f>
        <v>127</v>
      </c>
      <c r="L202" t="s">
        <v>10</v>
      </c>
    </row>
    <row r="203" spans="1:12" x14ac:dyDescent="0.25">
      <c r="A203" t="s">
        <v>24</v>
      </c>
      <c r="B203" s="12">
        <v>45743</v>
      </c>
      <c r="C203" t="s">
        <v>103</v>
      </c>
      <c r="D203" s="14">
        <v>4</v>
      </c>
      <c r="E203" t="s">
        <v>18</v>
      </c>
      <c r="F203">
        <v>3</v>
      </c>
      <c r="G203">
        <v>1</v>
      </c>
      <c r="H203">
        <v>7</v>
      </c>
      <c r="I203">
        <v>3</v>
      </c>
      <c r="J203">
        <f>59+38+42</f>
        <v>139</v>
      </c>
      <c r="K203">
        <f>55+42+31</f>
        <v>128</v>
      </c>
      <c r="L203" t="s">
        <v>10</v>
      </c>
    </row>
    <row r="204" spans="1:12" x14ac:dyDescent="0.25">
      <c r="A204" t="s">
        <v>24</v>
      </c>
      <c r="B204" s="12">
        <v>45743</v>
      </c>
      <c r="C204" t="s">
        <v>69</v>
      </c>
      <c r="D204" s="14">
        <v>4</v>
      </c>
      <c r="E204" t="s">
        <v>18</v>
      </c>
      <c r="F204">
        <v>3</v>
      </c>
      <c r="G204">
        <v>1</v>
      </c>
      <c r="H204">
        <v>8</v>
      </c>
      <c r="I204">
        <v>4</v>
      </c>
      <c r="J204">
        <f>59+42+43</f>
        <v>144</v>
      </c>
      <c r="K204">
        <f>55+37+55</f>
        <v>147</v>
      </c>
      <c r="L204" t="s">
        <v>10</v>
      </c>
    </row>
    <row r="205" spans="1:12" x14ac:dyDescent="0.25">
      <c r="A205" t="s">
        <v>24</v>
      </c>
      <c r="B205" s="12">
        <v>45751</v>
      </c>
      <c r="C205" t="s">
        <v>135</v>
      </c>
      <c r="D205" s="14">
        <v>8</v>
      </c>
      <c r="E205" t="s">
        <v>12</v>
      </c>
      <c r="F205">
        <v>3</v>
      </c>
      <c r="G205">
        <v>0</v>
      </c>
      <c r="H205">
        <v>8</v>
      </c>
      <c r="I205">
        <v>2</v>
      </c>
      <c r="J205">
        <f>53+30+59</f>
        <v>142</v>
      </c>
      <c r="K205">
        <f>59+42+60</f>
        <v>161</v>
      </c>
      <c r="L205" t="s">
        <v>18</v>
      </c>
    </row>
    <row r="206" spans="1:12" x14ac:dyDescent="0.25">
      <c r="A206" t="s">
        <v>24</v>
      </c>
      <c r="B206" s="12">
        <v>45751</v>
      </c>
      <c r="C206" t="s">
        <v>94</v>
      </c>
      <c r="D206" s="14">
        <v>12</v>
      </c>
      <c r="E206" t="s">
        <v>12</v>
      </c>
      <c r="F206">
        <v>3</v>
      </c>
      <c r="G206">
        <v>0</v>
      </c>
      <c r="H206">
        <v>8</v>
      </c>
      <c r="I206">
        <v>2</v>
      </c>
      <c r="J206">
        <f>53+57+29</f>
        <v>139</v>
      </c>
      <c r="K206">
        <f>59+53+42</f>
        <v>154</v>
      </c>
      <c r="L206" t="s">
        <v>18</v>
      </c>
    </row>
    <row r="207" spans="1:12" x14ac:dyDescent="0.25">
      <c r="A207" t="s">
        <v>24</v>
      </c>
      <c r="B207" s="12">
        <v>45751</v>
      </c>
      <c r="C207" t="s">
        <v>121</v>
      </c>
      <c r="D207" s="14">
        <v>8</v>
      </c>
      <c r="E207" t="s">
        <v>12</v>
      </c>
      <c r="F207">
        <v>3</v>
      </c>
      <c r="G207">
        <v>1</v>
      </c>
      <c r="H207">
        <v>7</v>
      </c>
      <c r="I207">
        <v>2</v>
      </c>
      <c r="J207">
        <f>58+30+29</f>
        <v>117</v>
      </c>
      <c r="K207">
        <f>56+42+42</f>
        <v>140</v>
      </c>
      <c r="L207" t="s">
        <v>18</v>
      </c>
    </row>
    <row r="208" spans="1:12" x14ac:dyDescent="0.25">
      <c r="A208" t="s">
        <v>24</v>
      </c>
      <c r="B208" s="12">
        <v>45751</v>
      </c>
      <c r="C208" t="s">
        <v>96</v>
      </c>
      <c r="D208" s="14">
        <v>12</v>
      </c>
      <c r="E208" t="s">
        <v>12</v>
      </c>
      <c r="F208">
        <v>3</v>
      </c>
      <c r="G208">
        <v>1</v>
      </c>
      <c r="H208">
        <v>9</v>
      </c>
      <c r="I208">
        <v>4</v>
      </c>
      <c r="J208">
        <f>58+57+59</f>
        <v>174</v>
      </c>
      <c r="K208">
        <f>56+53+60</f>
        <v>169</v>
      </c>
      <c r="L208" t="s">
        <v>18</v>
      </c>
    </row>
    <row r="209" spans="1:12" x14ac:dyDescent="0.25">
      <c r="A209" t="s">
        <v>24</v>
      </c>
      <c r="B209" s="12">
        <v>45751</v>
      </c>
      <c r="C209" t="s">
        <v>105</v>
      </c>
      <c r="D209" s="14">
        <v>2</v>
      </c>
      <c r="E209" t="s">
        <v>18</v>
      </c>
      <c r="F209">
        <v>3</v>
      </c>
      <c r="G209">
        <v>3</v>
      </c>
      <c r="H209">
        <v>8</v>
      </c>
      <c r="I209">
        <v>6</v>
      </c>
      <c r="J209">
        <f>59+42+60</f>
        <v>161</v>
      </c>
      <c r="K209">
        <f>53+30+59</f>
        <v>142</v>
      </c>
      <c r="L209" t="s">
        <v>12</v>
      </c>
    </row>
    <row r="210" spans="1:12" x14ac:dyDescent="0.25">
      <c r="A210" t="s">
        <v>24</v>
      </c>
      <c r="B210" s="12">
        <v>45751</v>
      </c>
      <c r="C210" t="s">
        <v>160</v>
      </c>
      <c r="D210" s="14">
        <v>4</v>
      </c>
      <c r="E210" t="s">
        <v>18</v>
      </c>
      <c r="F210">
        <v>3</v>
      </c>
      <c r="G210">
        <v>3</v>
      </c>
      <c r="H210">
        <v>8</v>
      </c>
      <c r="I210">
        <v>6</v>
      </c>
      <c r="J210">
        <f>59+53+42</f>
        <v>154</v>
      </c>
      <c r="K210">
        <f>53+57+29</f>
        <v>139</v>
      </c>
      <c r="L210" t="s">
        <v>12</v>
      </c>
    </row>
    <row r="211" spans="1:12" x14ac:dyDescent="0.25">
      <c r="A211" t="s">
        <v>24</v>
      </c>
      <c r="B211" s="12">
        <v>45751</v>
      </c>
      <c r="C211" t="s">
        <v>103</v>
      </c>
      <c r="D211" s="14">
        <v>4</v>
      </c>
      <c r="E211" t="s">
        <v>18</v>
      </c>
      <c r="F211">
        <v>3</v>
      </c>
      <c r="G211">
        <v>2</v>
      </c>
      <c r="H211">
        <v>7</v>
      </c>
      <c r="I211">
        <v>5</v>
      </c>
      <c r="J211">
        <f>56+42+42</f>
        <v>140</v>
      </c>
      <c r="K211">
        <f>58+30+29</f>
        <v>117</v>
      </c>
      <c r="L211" t="s">
        <v>12</v>
      </c>
    </row>
    <row r="212" spans="1:12" x14ac:dyDescent="0.25">
      <c r="A212" t="s">
        <v>24</v>
      </c>
      <c r="B212" s="12">
        <v>45751</v>
      </c>
      <c r="C212" t="s">
        <v>69</v>
      </c>
      <c r="D212" s="14">
        <v>4</v>
      </c>
      <c r="E212" t="s">
        <v>18</v>
      </c>
      <c r="F212">
        <v>3</v>
      </c>
      <c r="G212">
        <v>2</v>
      </c>
      <c r="H212">
        <v>9</v>
      </c>
      <c r="I212">
        <v>5</v>
      </c>
      <c r="J212">
        <f>56+53+60</f>
        <v>169</v>
      </c>
      <c r="K212">
        <f>58+57+59</f>
        <v>174</v>
      </c>
      <c r="L212" t="s">
        <v>12</v>
      </c>
    </row>
    <row r="213" spans="1:12" x14ac:dyDescent="0.25">
      <c r="A213" t="s">
        <v>24</v>
      </c>
      <c r="B213" s="12">
        <v>45758</v>
      </c>
      <c r="C213" t="s">
        <v>45</v>
      </c>
      <c r="D213" s="14">
        <v>-8</v>
      </c>
      <c r="E213" t="s">
        <v>53</v>
      </c>
      <c r="F213">
        <v>3</v>
      </c>
      <c r="G213">
        <v>3</v>
      </c>
      <c r="H213">
        <v>7</v>
      </c>
      <c r="I213">
        <v>6</v>
      </c>
      <c r="J213">
        <f>58+42+42</f>
        <v>142</v>
      </c>
      <c r="K213">
        <f>51+24+32</f>
        <v>107</v>
      </c>
      <c r="L213" t="s">
        <v>12</v>
      </c>
    </row>
    <row r="214" spans="1:12" x14ac:dyDescent="0.25">
      <c r="A214" t="s">
        <v>24</v>
      </c>
      <c r="B214" s="12">
        <v>45758</v>
      </c>
      <c r="C214" t="s">
        <v>46</v>
      </c>
      <c r="D214" s="14">
        <v>-4</v>
      </c>
      <c r="E214" t="s">
        <v>53</v>
      </c>
      <c r="F214">
        <v>3</v>
      </c>
      <c r="G214">
        <v>3</v>
      </c>
      <c r="H214">
        <v>7</v>
      </c>
      <c r="I214">
        <v>6</v>
      </c>
      <c r="J214">
        <f>58+42+42</f>
        <v>142</v>
      </c>
      <c r="K214">
        <f>51+35+33</f>
        <v>119</v>
      </c>
      <c r="L214" t="s">
        <v>12</v>
      </c>
    </row>
    <row r="215" spans="1:12" x14ac:dyDescent="0.25">
      <c r="A215" t="s">
        <v>24</v>
      </c>
      <c r="B215" s="12">
        <v>45758</v>
      </c>
      <c r="C215" t="s">
        <v>48</v>
      </c>
      <c r="D215" s="14">
        <v>-8</v>
      </c>
      <c r="E215" t="s">
        <v>53</v>
      </c>
      <c r="F215">
        <v>3</v>
      </c>
      <c r="G215">
        <v>3</v>
      </c>
      <c r="H215">
        <v>6</v>
      </c>
      <c r="I215">
        <v>6</v>
      </c>
      <c r="J215">
        <f>42+42+42</f>
        <v>126</v>
      </c>
      <c r="K215">
        <f>35+24+33</f>
        <v>92</v>
      </c>
      <c r="L215" t="s">
        <v>12</v>
      </c>
    </row>
    <row r="216" spans="1:12" x14ac:dyDescent="0.25">
      <c r="A216" t="s">
        <v>24</v>
      </c>
      <c r="B216" s="12">
        <v>45758</v>
      </c>
      <c r="C216" t="s">
        <v>47</v>
      </c>
      <c r="D216" s="14">
        <v>-8</v>
      </c>
      <c r="E216" t="s">
        <v>53</v>
      </c>
      <c r="F216">
        <v>3</v>
      </c>
      <c r="G216">
        <v>3</v>
      </c>
      <c r="H216">
        <v>6</v>
      </c>
      <c r="I216">
        <v>6</v>
      </c>
      <c r="J216">
        <f>42+42+42</f>
        <v>126</v>
      </c>
      <c r="K216">
        <f>35+35+32</f>
        <v>102</v>
      </c>
      <c r="L216" t="s">
        <v>12</v>
      </c>
    </row>
    <row r="217" spans="1:12" x14ac:dyDescent="0.25">
      <c r="A217" t="s">
        <v>24</v>
      </c>
      <c r="B217" s="12">
        <v>45758</v>
      </c>
      <c r="C217" t="s">
        <v>132</v>
      </c>
      <c r="D217" s="14">
        <v>6</v>
      </c>
      <c r="E217" t="s">
        <v>12</v>
      </c>
      <c r="F217">
        <v>3</v>
      </c>
      <c r="G217">
        <v>0</v>
      </c>
      <c r="H217">
        <v>7</v>
      </c>
      <c r="I217">
        <v>1</v>
      </c>
      <c r="J217">
        <f>51+24+32</f>
        <v>107</v>
      </c>
      <c r="K217">
        <f>58+42+42</f>
        <v>142</v>
      </c>
      <c r="L217" t="s">
        <v>53</v>
      </c>
    </row>
    <row r="218" spans="1:12" x14ac:dyDescent="0.25">
      <c r="A218" t="s">
        <v>24</v>
      </c>
      <c r="B218" s="12">
        <v>45758</v>
      </c>
      <c r="C218" t="s">
        <v>93</v>
      </c>
      <c r="D218" s="14">
        <v>10</v>
      </c>
      <c r="E218" t="s">
        <v>12</v>
      </c>
      <c r="F218">
        <v>3</v>
      </c>
      <c r="G218">
        <v>0</v>
      </c>
      <c r="H218">
        <v>7</v>
      </c>
      <c r="I218">
        <v>1</v>
      </c>
      <c r="J218">
        <f>51+35+33</f>
        <v>119</v>
      </c>
      <c r="K218">
        <f>58+42+42</f>
        <v>142</v>
      </c>
      <c r="L218" t="s">
        <v>53</v>
      </c>
    </row>
    <row r="219" spans="1:12" x14ac:dyDescent="0.25">
      <c r="A219" t="s">
        <v>24</v>
      </c>
      <c r="B219" s="12">
        <v>45758</v>
      </c>
      <c r="C219" t="s">
        <v>112</v>
      </c>
      <c r="D219" s="14">
        <v>4</v>
      </c>
      <c r="E219" t="s">
        <v>12</v>
      </c>
      <c r="F219">
        <v>3</v>
      </c>
      <c r="G219">
        <v>0</v>
      </c>
      <c r="H219">
        <v>6</v>
      </c>
      <c r="I219">
        <v>0</v>
      </c>
      <c r="J219">
        <f>35+24+33</f>
        <v>92</v>
      </c>
      <c r="K219">
        <f>42+42+42</f>
        <v>126</v>
      </c>
      <c r="L219" t="s">
        <v>53</v>
      </c>
    </row>
    <row r="220" spans="1:12" x14ac:dyDescent="0.25">
      <c r="A220" t="s">
        <v>24</v>
      </c>
      <c r="B220" s="12">
        <v>45758</v>
      </c>
      <c r="C220" t="s">
        <v>95</v>
      </c>
      <c r="D220" s="14">
        <v>6</v>
      </c>
      <c r="E220" t="s">
        <v>12</v>
      </c>
      <c r="F220">
        <v>3</v>
      </c>
      <c r="G220">
        <v>0</v>
      </c>
      <c r="H220">
        <v>6</v>
      </c>
      <c r="I220">
        <v>0</v>
      </c>
      <c r="J220">
        <f>35+35+32</f>
        <v>102</v>
      </c>
      <c r="K220">
        <f>42+42+42</f>
        <v>126</v>
      </c>
      <c r="L220" t="s">
        <v>53</v>
      </c>
    </row>
    <row r="221" spans="1:12" ht="15" customHeight="1" x14ac:dyDescent="0.25">
      <c r="B221" s="12"/>
    </row>
    <row r="222" spans="1:12" x14ac:dyDescent="0.25">
      <c r="A222" s="13" t="s">
        <v>44</v>
      </c>
      <c r="B222" s="13"/>
      <c r="C222" s="13"/>
      <c r="D222" s="13"/>
      <c r="E222" s="13"/>
      <c r="F222" s="13">
        <f t="shared" ref="F222:K222" si="0">SUM(F5:F221)</f>
        <v>648</v>
      </c>
      <c r="G222" s="13">
        <f t="shared" si="0"/>
        <v>324</v>
      </c>
      <c r="H222" s="13">
        <f t="shared" si="0"/>
        <v>1564</v>
      </c>
      <c r="I222" s="13">
        <f t="shared" si="0"/>
        <v>782</v>
      </c>
      <c r="J222" s="13">
        <f t="shared" si="0"/>
        <v>28612</v>
      </c>
      <c r="K222" s="13">
        <f t="shared" si="0"/>
        <v>28612</v>
      </c>
    </row>
    <row r="223" spans="1:12" x14ac:dyDescent="0.25">
      <c r="G223">
        <f>+F222/2-G222</f>
        <v>0</v>
      </c>
      <c r="I223">
        <f>+H222/2-I222</f>
        <v>0</v>
      </c>
      <c r="K223">
        <f>+J222-K222</f>
        <v>0</v>
      </c>
    </row>
  </sheetData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C06F-5CFE-454A-8CBE-F4C6E2334AA5}">
  <sheetPr>
    <pageSetUpPr fitToPage="1"/>
  </sheetPr>
  <dimension ref="A1:L279"/>
  <sheetViews>
    <sheetView workbookViewId="0">
      <pane ySplit="4" topLeftCell="A252" activePane="bottomLeft" state="frozen"/>
      <selection pane="bottomLeft" activeCell="D339" sqref="D339"/>
    </sheetView>
  </sheetViews>
  <sheetFormatPr defaultRowHeight="15" x14ac:dyDescent="0.25"/>
  <cols>
    <col min="3" max="3" width="18.85546875" bestFit="1" customWidth="1"/>
    <col min="5" max="5" width="13.42578125" bestFit="1" customWidth="1"/>
    <col min="11" max="11" width="7" bestFit="1" customWidth="1"/>
    <col min="12" max="12" width="13.42578125" bestFit="1" customWidth="1"/>
  </cols>
  <sheetData>
    <row r="1" spans="1:12" x14ac:dyDescent="0.25">
      <c r="A1" s="33" t="s">
        <v>151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5" spans="1:12" x14ac:dyDescent="0.25">
      <c r="A5" t="s">
        <v>22</v>
      </c>
      <c r="B5" s="12">
        <v>45575</v>
      </c>
      <c r="C5" t="s">
        <v>57</v>
      </c>
      <c r="D5" s="14">
        <v>-2</v>
      </c>
      <c r="E5" t="s">
        <v>10</v>
      </c>
      <c r="F5">
        <v>3</v>
      </c>
      <c r="G5">
        <v>2</v>
      </c>
      <c r="H5">
        <v>7</v>
      </c>
      <c r="I5">
        <v>5</v>
      </c>
      <c r="J5">
        <f>50+42+42</f>
        <v>134</v>
      </c>
      <c r="K5">
        <f>62+24+37</f>
        <v>123</v>
      </c>
      <c r="L5" t="s">
        <v>14</v>
      </c>
    </row>
    <row r="6" spans="1:12" x14ac:dyDescent="0.25">
      <c r="A6" t="s">
        <v>22</v>
      </c>
      <c r="B6" s="12">
        <v>45575</v>
      </c>
      <c r="C6" t="s">
        <v>58</v>
      </c>
      <c r="D6" s="14">
        <v>2</v>
      </c>
      <c r="E6" t="s">
        <v>10</v>
      </c>
      <c r="F6">
        <v>3</v>
      </c>
      <c r="G6">
        <v>0</v>
      </c>
      <c r="H6">
        <v>8</v>
      </c>
      <c r="I6">
        <v>2</v>
      </c>
      <c r="J6">
        <f>50+56+35</f>
        <v>141</v>
      </c>
      <c r="K6">
        <f>62+60+42</f>
        <v>164</v>
      </c>
      <c r="L6" t="s">
        <v>14</v>
      </c>
    </row>
    <row r="7" spans="1:12" x14ac:dyDescent="0.25">
      <c r="A7" t="s">
        <v>22</v>
      </c>
      <c r="B7" s="12">
        <v>45575</v>
      </c>
      <c r="C7" t="s">
        <v>37</v>
      </c>
      <c r="D7" s="14">
        <v>4</v>
      </c>
      <c r="E7" t="s">
        <v>10</v>
      </c>
      <c r="F7">
        <v>3</v>
      </c>
      <c r="G7">
        <v>2</v>
      </c>
      <c r="H7">
        <v>6</v>
      </c>
      <c r="I7">
        <v>4</v>
      </c>
      <c r="J7">
        <f>42+42+35</f>
        <v>119</v>
      </c>
      <c r="K7">
        <f>37+24+42</f>
        <v>103</v>
      </c>
      <c r="L7" t="s">
        <v>14</v>
      </c>
    </row>
    <row r="8" spans="1:12" x14ac:dyDescent="0.25">
      <c r="A8" t="s">
        <v>22</v>
      </c>
      <c r="B8" s="12">
        <v>45575</v>
      </c>
      <c r="C8" t="s">
        <v>38</v>
      </c>
      <c r="D8" s="14">
        <v>6</v>
      </c>
      <c r="E8" t="s">
        <v>10</v>
      </c>
      <c r="F8">
        <v>3</v>
      </c>
      <c r="G8">
        <v>2</v>
      </c>
      <c r="H8">
        <v>7</v>
      </c>
      <c r="I8">
        <v>5</v>
      </c>
      <c r="J8">
        <f>42+56+42</f>
        <v>140</v>
      </c>
      <c r="K8">
        <f>37+60+37</f>
        <v>134</v>
      </c>
      <c r="L8" t="s">
        <v>14</v>
      </c>
    </row>
    <row r="9" spans="1:12" x14ac:dyDescent="0.25">
      <c r="A9" t="s">
        <v>22</v>
      </c>
      <c r="B9" s="12">
        <v>45575</v>
      </c>
      <c r="C9" t="s">
        <v>48</v>
      </c>
      <c r="D9" s="14">
        <v>-6</v>
      </c>
      <c r="E9" t="s">
        <v>14</v>
      </c>
      <c r="F9">
        <v>3</v>
      </c>
      <c r="G9">
        <v>1</v>
      </c>
      <c r="H9">
        <v>7</v>
      </c>
      <c r="I9">
        <v>2</v>
      </c>
      <c r="J9">
        <f>62+24+37</f>
        <v>123</v>
      </c>
      <c r="K9">
        <f>50+42+42</f>
        <v>134</v>
      </c>
      <c r="L9" t="s">
        <v>10</v>
      </c>
    </row>
    <row r="10" spans="1:12" x14ac:dyDescent="0.25">
      <c r="A10" t="s">
        <v>22</v>
      </c>
      <c r="B10" s="12">
        <v>45575</v>
      </c>
      <c r="C10" t="s">
        <v>51</v>
      </c>
      <c r="D10" s="14">
        <v>-6</v>
      </c>
      <c r="E10" t="s">
        <v>14</v>
      </c>
      <c r="F10">
        <v>3</v>
      </c>
      <c r="G10">
        <v>3</v>
      </c>
      <c r="H10">
        <v>8</v>
      </c>
      <c r="I10">
        <v>6</v>
      </c>
      <c r="J10">
        <f>62+60+42</f>
        <v>164</v>
      </c>
      <c r="K10">
        <f>50+56+35</f>
        <v>141</v>
      </c>
      <c r="L10" t="s">
        <v>10</v>
      </c>
    </row>
    <row r="11" spans="1:12" x14ac:dyDescent="0.25">
      <c r="A11" t="s">
        <v>22</v>
      </c>
      <c r="B11" s="12">
        <v>45575</v>
      </c>
      <c r="C11" t="s">
        <v>59</v>
      </c>
      <c r="D11" s="14">
        <v>4</v>
      </c>
      <c r="E11" t="s">
        <v>14</v>
      </c>
      <c r="F11">
        <v>3</v>
      </c>
      <c r="G11">
        <v>1</v>
      </c>
      <c r="H11">
        <v>6</v>
      </c>
      <c r="I11">
        <v>2</v>
      </c>
      <c r="J11">
        <f>37+24+42</f>
        <v>103</v>
      </c>
      <c r="K11">
        <f>42+42+35</f>
        <v>119</v>
      </c>
      <c r="L11" t="s">
        <v>10</v>
      </c>
    </row>
    <row r="12" spans="1:12" x14ac:dyDescent="0.25">
      <c r="A12" t="s">
        <v>22</v>
      </c>
      <c r="B12" s="12">
        <v>45575</v>
      </c>
      <c r="C12" t="s">
        <v>60</v>
      </c>
      <c r="D12" s="14">
        <v>4</v>
      </c>
      <c r="E12" t="s">
        <v>14</v>
      </c>
      <c r="F12">
        <v>3</v>
      </c>
      <c r="G12">
        <v>1</v>
      </c>
      <c r="H12">
        <v>7</v>
      </c>
      <c r="I12">
        <v>2</v>
      </c>
      <c r="J12">
        <f>37+60+37</f>
        <v>134</v>
      </c>
      <c r="K12">
        <f>42+56+42</f>
        <v>140</v>
      </c>
      <c r="L12" t="s">
        <v>10</v>
      </c>
    </row>
    <row r="13" spans="1:12" x14ac:dyDescent="0.25">
      <c r="A13" t="s">
        <v>22</v>
      </c>
      <c r="B13" s="12">
        <v>45583</v>
      </c>
      <c r="C13" t="s">
        <v>97</v>
      </c>
      <c r="D13" s="14">
        <v>-4</v>
      </c>
      <c r="E13" t="s">
        <v>15</v>
      </c>
      <c r="F13">
        <v>3</v>
      </c>
      <c r="G13">
        <v>2</v>
      </c>
      <c r="H13">
        <v>6</v>
      </c>
      <c r="I13">
        <v>4</v>
      </c>
      <c r="J13">
        <f>42+32+42</f>
        <v>116</v>
      </c>
      <c r="K13">
        <f>33+42+40</f>
        <v>115</v>
      </c>
      <c r="L13" t="s">
        <v>18</v>
      </c>
    </row>
    <row r="14" spans="1:12" x14ac:dyDescent="0.25">
      <c r="A14" t="s">
        <v>22</v>
      </c>
      <c r="B14" s="12">
        <v>45583</v>
      </c>
      <c r="C14" t="s">
        <v>98</v>
      </c>
      <c r="D14" s="14">
        <v>2</v>
      </c>
      <c r="E14" t="s">
        <v>15</v>
      </c>
      <c r="F14">
        <v>3</v>
      </c>
      <c r="G14">
        <v>1</v>
      </c>
      <c r="H14">
        <v>6</v>
      </c>
      <c r="I14">
        <v>2</v>
      </c>
      <c r="J14">
        <f>42+33+36</f>
        <v>111</v>
      </c>
      <c r="K14">
        <f>33+42+42</f>
        <v>117</v>
      </c>
      <c r="L14" t="s">
        <v>18</v>
      </c>
    </row>
    <row r="15" spans="1:12" x14ac:dyDescent="0.25">
      <c r="A15" t="s">
        <v>22</v>
      </c>
      <c r="B15" s="12">
        <v>45583</v>
      </c>
      <c r="C15" t="s">
        <v>99</v>
      </c>
      <c r="D15" s="14">
        <v>2</v>
      </c>
      <c r="E15" t="s">
        <v>15</v>
      </c>
      <c r="F15">
        <v>3</v>
      </c>
      <c r="G15">
        <v>0</v>
      </c>
      <c r="H15">
        <v>6</v>
      </c>
      <c r="I15">
        <v>0</v>
      </c>
      <c r="J15">
        <f>27+32+36</f>
        <v>95</v>
      </c>
      <c r="K15">
        <f>42+42+42</f>
        <v>126</v>
      </c>
      <c r="L15" t="s">
        <v>18</v>
      </c>
    </row>
    <row r="16" spans="1:12" x14ac:dyDescent="0.25">
      <c r="A16" t="s">
        <v>22</v>
      </c>
      <c r="B16" s="12">
        <v>45583</v>
      </c>
      <c r="C16" t="s">
        <v>100</v>
      </c>
      <c r="D16" s="14">
        <v>2</v>
      </c>
      <c r="E16" t="s">
        <v>15</v>
      </c>
      <c r="F16">
        <v>3</v>
      </c>
      <c r="G16">
        <v>1</v>
      </c>
      <c r="H16">
        <v>6</v>
      </c>
      <c r="I16">
        <v>2</v>
      </c>
      <c r="J16">
        <f>27+33+42</f>
        <v>102</v>
      </c>
      <c r="K16">
        <f>42+42+40</f>
        <v>124</v>
      </c>
      <c r="L16" t="s">
        <v>18</v>
      </c>
    </row>
    <row r="17" spans="1:12" x14ac:dyDescent="0.25">
      <c r="A17" t="s">
        <v>22</v>
      </c>
      <c r="B17" s="12">
        <v>45583</v>
      </c>
      <c r="C17" t="s">
        <v>101</v>
      </c>
      <c r="D17" s="14">
        <v>-8</v>
      </c>
      <c r="E17" t="s">
        <v>18</v>
      </c>
      <c r="F17">
        <v>3</v>
      </c>
      <c r="G17">
        <v>1</v>
      </c>
      <c r="H17">
        <v>6</v>
      </c>
      <c r="I17">
        <v>2</v>
      </c>
      <c r="J17">
        <f>33+42+40</f>
        <v>115</v>
      </c>
      <c r="K17">
        <f>42+32+42</f>
        <v>116</v>
      </c>
      <c r="L17" t="s">
        <v>15</v>
      </c>
    </row>
    <row r="18" spans="1:12" x14ac:dyDescent="0.25">
      <c r="A18" t="s">
        <v>22</v>
      </c>
      <c r="B18" s="12">
        <v>45583</v>
      </c>
      <c r="C18" t="s">
        <v>70</v>
      </c>
      <c r="D18" s="14">
        <v>-8</v>
      </c>
      <c r="E18" t="s">
        <v>18</v>
      </c>
      <c r="F18">
        <v>3</v>
      </c>
      <c r="G18">
        <v>2</v>
      </c>
      <c r="H18">
        <v>6</v>
      </c>
      <c r="I18">
        <v>4</v>
      </c>
      <c r="J18">
        <f>33+42+42</f>
        <v>117</v>
      </c>
      <c r="K18">
        <f>42+33+36</f>
        <v>111</v>
      </c>
      <c r="L18" t="s">
        <v>15</v>
      </c>
    </row>
    <row r="19" spans="1:12" x14ac:dyDescent="0.25">
      <c r="A19" t="s">
        <v>22</v>
      </c>
      <c r="B19" s="12">
        <v>45583</v>
      </c>
      <c r="C19" t="s">
        <v>102</v>
      </c>
      <c r="D19" s="14">
        <v>2</v>
      </c>
      <c r="E19" t="s">
        <v>18</v>
      </c>
      <c r="F19">
        <v>3</v>
      </c>
      <c r="G19">
        <v>3</v>
      </c>
      <c r="H19">
        <v>6</v>
      </c>
      <c r="I19">
        <v>6</v>
      </c>
      <c r="J19">
        <f>42+42+42</f>
        <v>126</v>
      </c>
      <c r="K19">
        <f>27+32+36</f>
        <v>95</v>
      </c>
      <c r="L19" t="s">
        <v>15</v>
      </c>
    </row>
    <row r="20" spans="1:12" x14ac:dyDescent="0.25">
      <c r="A20" t="s">
        <v>22</v>
      </c>
      <c r="B20" s="12">
        <v>45583</v>
      </c>
      <c r="C20" t="s">
        <v>103</v>
      </c>
      <c r="D20" s="14">
        <v>4</v>
      </c>
      <c r="E20" t="s">
        <v>18</v>
      </c>
      <c r="F20">
        <v>3</v>
      </c>
      <c r="G20">
        <v>2</v>
      </c>
      <c r="H20">
        <v>6</v>
      </c>
      <c r="I20">
        <v>4</v>
      </c>
      <c r="J20">
        <f>42+42+40</f>
        <v>124</v>
      </c>
      <c r="K20">
        <f>27+33+42</f>
        <v>102</v>
      </c>
      <c r="L20" t="s">
        <v>15</v>
      </c>
    </row>
    <row r="21" spans="1:12" x14ac:dyDescent="0.25">
      <c r="A21" t="s">
        <v>22</v>
      </c>
      <c r="B21" s="12">
        <v>45590</v>
      </c>
      <c r="C21" t="s">
        <v>95</v>
      </c>
      <c r="D21" s="14">
        <v>4</v>
      </c>
      <c r="E21" t="s">
        <v>12</v>
      </c>
      <c r="F21">
        <v>3</v>
      </c>
      <c r="G21">
        <v>1</v>
      </c>
      <c r="H21">
        <v>7</v>
      </c>
      <c r="I21">
        <v>2</v>
      </c>
      <c r="J21">
        <f>34+59+30</f>
        <v>123</v>
      </c>
      <c r="K21">
        <f>42+49+42</f>
        <v>133</v>
      </c>
      <c r="L21" t="s">
        <v>14</v>
      </c>
    </row>
    <row r="22" spans="1:12" x14ac:dyDescent="0.25">
      <c r="A22" t="s">
        <v>22</v>
      </c>
      <c r="B22" s="12">
        <v>45590</v>
      </c>
      <c r="C22" t="s">
        <v>112</v>
      </c>
      <c r="D22" s="14">
        <v>6</v>
      </c>
      <c r="E22" t="s">
        <v>12</v>
      </c>
      <c r="F22">
        <v>3</v>
      </c>
      <c r="G22">
        <v>0</v>
      </c>
      <c r="H22">
        <v>8</v>
      </c>
      <c r="I22">
        <v>2</v>
      </c>
      <c r="J22">
        <f>34+57+57</f>
        <v>148</v>
      </c>
      <c r="K22">
        <f>42+59+53</f>
        <v>154</v>
      </c>
      <c r="L22" t="s">
        <v>14</v>
      </c>
    </row>
    <row r="23" spans="1:12" x14ac:dyDescent="0.25">
      <c r="A23" t="s">
        <v>22</v>
      </c>
      <c r="B23" s="12">
        <v>45590</v>
      </c>
      <c r="C23" t="s">
        <v>113</v>
      </c>
      <c r="D23" s="14">
        <v>6</v>
      </c>
      <c r="E23" t="s">
        <v>12</v>
      </c>
      <c r="F23">
        <v>3</v>
      </c>
      <c r="G23">
        <v>1</v>
      </c>
      <c r="H23">
        <v>8</v>
      </c>
      <c r="I23">
        <v>3</v>
      </c>
      <c r="J23">
        <f>26+59+57</f>
        <v>142</v>
      </c>
      <c r="K23">
        <f>42+49+53</f>
        <v>144</v>
      </c>
      <c r="L23" t="s">
        <v>14</v>
      </c>
    </row>
    <row r="24" spans="1:12" x14ac:dyDescent="0.25">
      <c r="A24" t="s">
        <v>22</v>
      </c>
      <c r="B24" s="12">
        <v>45590</v>
      </c>
      <c r="C24" t="s">
        <v>96</v>
      </c>
      <c r="D24" s="14">
        <v>12</v>
      </c>
      <c r="E24" t="s">
        <v>12</v>
      </c>
      <c r="F24">
        <v>3</v>
      </c>
      <c r="G24">
        <v>1</v>
      </c>
      <c r="H24">
        <v>7</v>
      </c>
      <c r="I24">
        <v>1</v>
      </c>
      <c r="J24">
        <f>26+57+30</f>
        <v>113</v>
      </c>
      <c r="K24">
        <f>42+59+42</f>
        <v>143</v>
      </c>
      <c r="L24" t="s">
        <v>14</v>
      </c>
    </row>
    <row r="25" spans="1:12" x14ac:dyDescent="0.25">
      <c r="A25" t="s">
        <v>22</v>
      </c>
      <c r="B25" s="12">
        <v>45590</v>
      </c>
      <c r="C25" t="s">
        <v>48</v>
      </c>
      <c r="D25" s="14">
        <v>-6</v>
      </c>
      <c r="E25" t="s">
        <v>14</v>
      </c>
      <c r="F25">
        <v>3</v>
      </c>
      <c r="G25">
        <v>2</v>
      </c>
      <c r="H25">
        <v>7</v>
      </c>
      <c r="I25">
        <v>5</v>
      </c>
      <c r="J25">
        <f>42+49+42</f>
        <v>133</v>
      </c>
      <c r="K25">
        <f>34+59+30</f>
        <v>123</v>
      </c>
      <c r="L25" t="s">
        <v>12</v>
      </c>
    </row>
    <row r="26" spans="1:12" x14ac:dyDescent="0.25">
      <c r="A26" t="s">
        <v>22</v>
      </c>
      <c r="B26" s="12">
        <v>45590</v>
      </c>
      <c r="C26" t="s">
        <v>51</v>
      </c>
      <c r="D26" s="14">
        <v>-6</v>
      </c>
      <c r="E26" t="s">
        <v>14</v>
      </c>
      <c r="F26">
        <v>3</v>
      </c>
      <c r="G26">
        <v>2</v>
      </c>
      <c r="H26">
        <v>8</v>
      </c>
      <c r="I26">
        <v>6</v>
      </c>
      <c r="J26">
        <f>42+59+53</f>
        <v>154</v>
      </c>
      <c r="K26">
        <f>34+57+57</f>
        <v>148</v>
      </c>
      <c r="L26" t="s">
        <v>12</v>
      </c>
    </row>
    <row r="27" spans="1:12" x14ac:dyDescent="0.25">
      <c r="A27" t="s">
        <v>22</v>
      </c>
      <c r="B27" s="12">
        <v>45590</v>
      </c>
      <c r="C27" t="s">
        <v>114</v>
      </c>
      <c r="D27" s="14">
        <v>-2</v>
      </c>
      <c r="E27" t="s">
        <v>14</v>
      </c>
      <c r="F27">
        <v>3</v>
      </c>
      <c r="G27">
        <v>2</v>
      </c>
      <c r="H27">
        <v>8</v>
      </c>
      <c r="I27">
        <v>5</v>
      </c>
      <c r="J27">
        <f>42+49+53</f>
        <v>144</v>
      </c>
      <c r="K27">
        <f>26+59+57</f>
        <v>142</v>
      </c>
      <c r="L27" t="s">
        <v>12</v>
      </c>
    </row>
    <row r="28" spans="1:12" x14ac:dyDescent="0.25">
      <c r="A28" t="s">
        <v>22</v>
      </c>
      <c r="B28" s="12">
        <v>45590</v>
      </c>
      <c r="C28" t="s">
        <v>115</v>
      </c>
      <c r="D28" s="14">
        <v>10</v>
      </c>
      <c r="E28" t="s">
        <v>14</v>
      </c>
      <c r="F28">
        <v>3</v>
      </c>
      <c r="G28">
        <v>3</v>
      </c>
      <c r="H28">
        <v>7</v>
      </c>
      <c r="I28">
        <v>6</v>
      </c>
      <c r="J28">
        <f>42+59+42</f>
        <v>143</v>
      </c>
      <c r="K28">
        <f>26+57+30</f>
        <v>113</v>
      </c>
      <c r="L28" t="s">
        <v>12</v>
      </c>
    </row>
    <row r="29" spans="1:12" x14ac:dyDescent="0.25">
      <c r="A29" t="s">
        <v>22</v>
      </c>
      <c r="B29" s="12">
        <v>45590</v>
      </c>
      <c r="C29" t="s">
        <v>116</v>
      </c>
      <c r="D29" s="14">
        <v>-2</v>
      </c>
      <c r="E29" t="s">
        <v>15</v>
      </c>
      <c r="F29">
        <v>3</v>
      </c>
      <c r="G29">
        <v>3</v>
      </c>
      <c r="H29">
        <v>7</v>
      </c>
      <c r="I29">
        <v>6</v>
      </c>
      <c r="J29">
        <f>42+42+59</f>
        <v>143</v>
      </c>
      <c r="K29">
        <f>32+36+57</f>
        <v>125</v>
      </c>
      <c r="L29" t="s">
        <v>13</v>
      </c>
    </row>
    <row r="30" spans="1:12" x14ac:dyDescent="0.25">
      <c r="A30" t="s">
        <v>22</v>
      </c>
      <c r="B30" s="12">
        <v>45590</v>
      </c>
      <c r="C30" t="s">
        <v>98</v>
      </c>
      <c r="D30" s="14">
        <v>2</v>
      </c>
      <c r="E30" t="s">
        <v>15</v>
      </c>
      <c r="F30">
        <v>3</v>
      </c>
      <c r="G30">
        <v>2</v>
      </c>
      <c r="H30">
        <v>7</v>
      </c>
      <c r="I30">
        <v>4</v>
      </c>
      <c r="J30">
        <f>42+34+62</f>
        <v>138</v>
      </c>
      <c r="K30">
        <f>32+42+51</f>
        <v>125</v>
      </c>
      <c r="L30" t="s">
        <v>13</v>
      </c>
    </row>
    <row r="31" spans="1:12" x14ac:dyDescent="0.25">
      <c r="A31" t="s">
        <v>22</v>
      </c>
      <c r="B31" s="12">
        <v>45590</v>
      </c>
      <c r="C31" t="s">
        <v>100</v>
      </c>
      <c r="D31" s="14">
        <v>2</v>
      </c>
      <c r="E31" t="s">
        <v>15</v>
      </c>
      <c r="F31">
        <v>3</v>
      </c>
      <c r="G31">
        <v>2</v>
      </c>
      <c r="H31">
        <v>7</v>
      </c>
      <c r="I31">
        <v>4</v>
      </c>
      <c r="J31">
        <f>36+42+62</f>
        <v>140</v>
      </c>
      <c r="K31">
        <f>42+36+51</f>
        <v>129</v>
      </c>
      <c r="L31" t="s">
        <v>13</v>
      </c>
    </row>
    <row r="32" spans="1:12" x14ac:dyDescent="0.25">
      <c r="A32" t="s">
        <v>22</v>
      </c>
      <c r="B32" s="12">
        <v>45590</v>
      </c>
      <c r="C32" t="s">
        <v>99</v>
      </c>
      <c r="D32" s="14">
        <v>2</v>
      </c>
      <c r="E32" t="s">
        <v>15</v>
      </c>
      <c r="F32">
        <v>3</v>
      </c>
      <c r="G32">
        <v>1</v>
      </c>
      <c r="H32">
        <v>7</v>
      </c>
      <c r="I32">
        <v>2</v>
      </c>
      <c r="J32">
        <f>36+34+59</f>
        <v>129</v>
      </c>
      <c r="K32">
        <f>42+42+57</f>
        <v>141</v>
      </c>
      <c r="L32" t="s">
        <v>13</v>
      </c>
    </row>
    <row r="33" spans="1:12" x14ac:dyDescent="0.25">
      <c r="A33" t="s">
        <v>22</v>
      </c>
      <c r="B33" s="12">
        <v>45590</v>
      </c>
      <c r="C33" t="s">
        <v>107</v>
      </c>
      <c r="D33" s="14">
        <v>6</v>
      </c>
      <c r="E33" t="s">
        <v>13</v>
      </c>
      <c r="F33">
        <v>3</v>
      </c>
      <c r="G33">
        <v>0</v>
      </c>
      <c r="H33">
        <v>7</v>
      </c>
      <c r="I33">
        <v>1</v>
      </c>
      <c r="J33">
        <f>32+36+57</f>
        <v>125</v>
      </c>
      <c r="K33">
        <f>42+42+59</f>
        <v>143</v>
      </c>
      <c r="L33" t="s">
        <v>15</v>
      </c>
    </row>
    <row r="34" spans="1:12" x14ac:dyDescent="0.25">
      <c r="A34" t="s">
        <v>22</v>
      </c>
      <c r="B34" s="12">
        <v>45590</v>
      </c>
      <c r="C34" t="s">
        <v>41</v>
      </c>
      <c r="D34" s="14">
        <v>6</v>
      </c>
      <c r="E34" t="s">
        <v>13</v>
      </c>
      <c r="F34">
        <v>3</v>
      </c>
      <c r="G34">
        <v>1</v>
      </c>
      <c r="H34">
        <v>7</v>
      </c>
      <c r="I34">
        <v>3</v>
      </c>
      <c r="J34">
        <f>32+42+51</f>
        <v>125</v>
      </c>
      <c r="K34">
        <f>42+34+62</f>
        <v>138</v>
      </c>
      <c r="L34" t="s">
        <v>15</v>
      </c>
    </row>
    <row r="35" spans="1:12" x14ac:dyDescent="0.25">
      <c r="A35" t="s">
        <v>22</v>
      </c>
      <c r="B35" s="12">
        <v>45590</v>
      </c>
      <c r="C35" t="s">
        <v>166</v>
      </c>
      <c r="D35" s="14">
        <v>8</v>
      </c>
      <c r="E35" t="s">
        <v>13</v>
      </c>
      <c r="F35">
        <v>3</v>
      </c>
      <c r="G35">
        <v>1</v>
      </c>
      <c r="H35">
        <v>7</v>
      </c>
      <c r="I35">
        <v>3</v>
      </c>
      <c r="J35">
        <f>42+36+51</f>
        <v>129</v>
      </c>
      <c r="K35">
        <f>36+42+62</f>
        <v>140</v>
      </c>
      <c r="L35" t="s">
        <v>15</v>
      </c>
    </row>
    <row r="36" spans="1:12" x14ac:dyDescent="0.25">
      <c r="A36" t="s">
        <v>22</v>
      </c>
      <c r="B36" s="12">
        <v>45590</v>
      </c>
      <c r="C36" t="s">
        <v>167</v>
      </c>
      <c r="D36" s="14">
        <v>10</v>
      </c>
      <c r="E36" t="s">
        <v>13</v>
      </c>
      <c r="F36">
        <v>3</v>
      </c>
      <c r="G36">
        <v>2</v>
      </c>
      <c r="H36">
        <v>7</v>
      </c>
      <c r="I36">
        <v>5</v>
      </c>
      <c r="J36">
        <f>42+42+57</f>
        <v>141</v>
      </c>
      <c r="K36">
        <f>36+34+59</f>
        <v>129</v>
      </c>
      <c r="L36" t="s">
        <v>15</v>
      </c>
    </row>
    <row r="37" spans="1:12" x14ac:dyDescent="0.25">
      <c r="A37" t="s">
        <v>22</v>
      </c>
      <c r="B37" s="12">
        <v>45595</v>
      </c>
      <c r="C37" t="s">
        <v>41</v>
      </c>
      <c r="D37" s="14">
        <v>6</v>
      </c>
      <c r="E37" t="s">
        <v>13</v>
      </c>
      <c r="F37">
        <v>3</v>
      </c>
      <c r="G37">
        <v>1</v>
      </c>
      <c r="H37">
        <v>7</v>
      </c>
      <c r="I37">
        <v>3</v>
      </c>
      <c r="J37">
        <f>36+42+54</f>
        <v>132</v>
      </c>
      <c r="K37">
        <f>42+37+58</f>
        <v>137</v>
      </c>
      <c r="L37" t="s">
        <v>14</v>
      </c>
    </row>
    <row r="38" spans="1:12" x14ac:dyDescent="0.25">
      <c r="A38" t="s">
        <v>22</v>
      </c>
      <c r="B38" s="12">
        <v>45595</v>
      </c>
      <c r="C38" t="s">
        <v>42</v>
      </c>
      <c r="D38" s="14">
        <v>6</v>
      </c>
      <c r="E38" t="s">
        <v>13</v>
      </c>
      <c r="F38">
        <v>3</v>
      </c>
      <c r="G38">
        <v>2</v>
      </c>
      <c r="H38">
        <v>8</v>
      </c>
      <c r="I38">
        <v>4</v>
      </c>
      <c r="J38">
        <f>36+58+61</f>
        <v>155</v>
      </c>
      <c r="K38">
        <f>42+50+42</f>
        <v>134</v>
      </c>
      <c r="L38" t="s">
        <v>14</v>
      </c>
    </row>
    <row r="39" spans="1:12" x14ac:dyDescent="0.25">
      <c r="A39" t="s">
        <v>22</v>
      </c>
      <c r="B39" s="12">
        <v>45595</v>
      </c>
      <c r="C39" t="s">
        <v>108</v>
      </c>
      <c r="D39" s="14">
        <v>8</v>
      </c>
      <c r="E39" t="s">
        <v>13</v>
      </c>
      <c r="F39">
        <v>3</v>
      </c>
      <c r="G39">
        <v>3</v>
      </c>
      <c r="H39">
        <v>7</v>
      </c>
      <c r="I39">
        <v>6</v>
      </c>
      <c r="J39">
        <f>42+42+61</f>
        <v>145</v>
      </c>
      <c r="K39">
        <f>34+37+42</f>
        <v>113</v>
      </c>
      <c r="L39" t="s">
        <v>14</v>
      </c>
    </row>
    <row r="40" spans="1:12" x14ac:dyDescent="0.25">
      <c r="A40" t="s">
        <v>22</v>
      </c>
      <c r="B40" s="12">
        <v>45595</v>
      </c>
      <c r="C40" t="s">
        <v>167</v>
      </c>
      <c r="D40" s="14">
        <v>10</v>
      </c>
      <c r="E40" t="s">
        <v>13</v>
      </c>
      <c r="F40">
        <v>3</v>
      </c>
      <c r="G40">
        <v>2</v>
      </c>
      <c r="H40">
        <v>8</v>
      </c>
      <c r="I40">
        <v>5</v>
      </c>
      <c r="J40">
        <f>42+58+54</f>
        <v>154</v>
      </c>
      <c r="K40">
        <f>34+50+58</f>
        <v>142</v>
      </c>
      <c r="L40" t="s">
        <v>14</v>
      </c>
    </row>
    <row r="41" spans="1:12" x14ac:dyDescent="0.25">
      <c r="A41" t="s">
        <v>22</v>
      </c>
      <c r="B41" s="12">
        <v>45595</v>
      </c>
      <c r="C41" t="s">
        <v>48</v>
      </c>
      <c r="D41" s="14">
        <v>-6</v>
      </c>
      <c r="E41" t="s">
        <v>14</v>
      </c>
      <c r="F41">
        <v>3</v>
      </c>
      <c r="G41">
        <v>2</v>
      </c>
      <c r="H41">
        <v>7</v>
      </c>
      <c r="I41">
        <v>4</v>
      </c>
      <c r="J41">
        <f>42+37+58</f>
        <v>137</v>
      </c>
      <c r="K41">
        <f>36+42+54</f>
        <v>132</v>
      </c>
      <c r="L41" t="s">
        <v>13</v>
      </c>
    </row>
    <row r="42" spans="1:12" x14ac:dyDescent="0.25">
      <c r="A42" t="s">
        <v>22</v>
      </c>
      <c r="B42" s="12">
        <v>45595</v>
      </c>
      <c r="C42" t="s">
        <v>51</v>
      </c>
      <c r="D42" s="14">
        <v>-6</v>
      </c>
      <c r="E42" t="s">
        <v>14</v>
      </c>
      <c r="F42">
        <v>3</v>
      </c>
      <c r="G42">
        <v>1</v>
      </c>
      <c r="H42">
        <v>8</v>
      </c>
      <c r="I42">
        <v>4</v>
      </c>
      <c r="J42">
        <f>42+50+42</f>
        <v>134</v>
      </c>
      <c r="K42">
        <f>36+58+61</f>
        <v>155</v>
      </c>
      <c r="L42" t="s">
        <v>13</v>
      </c>
    </row>
    <row r="43" spans="1:12" x14ac:dyDescent="0.25">
      <c r="A43" t="s">
        <v>22</v>
      </c>
      <c r="B43" s="12">
        <v>45595</v>
      </c>
      <c r="C43" t="s">
        <v>59</v>
      </c>
      <c r="D43" s="14">
        <v>4</v>
      </c>
      <c r="E43" t="s">
        <v>14</v>
      </c>
      <c r="F43">
        <v>3</v>
      </c>
      <c r="G43">
        <v>0</v>
      </c>
      <c r="H43">
        <v>7</v>
      </c>
      <c r="I43">
        <v>1</v>
      </c>
      <c r="J43">
        <f>34+37+42</f>
        <v>113</v>
      </c>
      <c r="K43">
        <f>42+42+61</f>
        <v>145</v>
      </c>
      <c r="L43" t="s">
        <v>13</v>
      </c>
    </row>
    <row r="44" spans="1:12" x14ac:dyDescent="0.25">
      <c r="A44" t="s">
        <v>22</v>
      </c>
      <c r="B44" s="12">
        <v>45595</v>
      </c>
      <c r="C44" t="s">
        <v>115</v>
      </c>
      <c r="D44" s="14">
        <v>10</v>
      </c>
      <c r="E44" t="s">
        <v>14</v>
      </c>
      <c r="F44">
        <v>3</v>
      </c>
      <c r="G44">
        <v>1</v>
      </c>
      <c r="H44">
        <v>8</v>
      </c>
      <c r="I44">
        <v>3</v>
      </c>
      <c r="J44">
        <f>34+50+58</f>
        <v>142</v>
      </c>
      <c r="K44">
        <f>42+58+54</f>
        <v>154</v>
      </c>
      <c r="L44" t="s">
        <v>13</v>
      </c>
    </row>
    <row r="45" spans="1:12" x14ac:dyDescent="0.25">
      <c r="A45" t="s">
        <v>22</v>
      </c>
      <c r="B45" s="12">
        <v>45597</v>
      </c>
      <c r="C45" t="s">
        <v>116</v>
      </c>
      <c r="D45" s="14">
        <v>-2</v>
      </c>
      <c r="E45" t="s">
        <v>15</v>
      </c>
      <c r="F45">
        <v>3</v>
      </c>
      <c r="G45">
        <v>3</v>
      </c>
      <c r="H45">
        <v>7</v>
      </c>
      <c r="I45">
        <v>6</v>
      </c>
      <c r="J45">
        <f>42+42+59</f>
        <v>143</v>
      </c>
      <c r="K45">
        <f>34+31+59</f>
        <v>124</v>
      </c>
      <c r="L45" t="s">
        <v>12</v>
      </c>
    </row>
    <row r="46" spans="1:12" x14ac:dyDescent="0.25">
      <c r="A46" t="s">
        <v>22</v>
      </c>
      <c r="B46" s="12">
        <v>45597</v>
      </c>
      <c r="C46" t="s">
        <v>168</v>
      </c>
      <c r="D46" s="14">
        <v>-2</v>
      </c>
      <c r="E46" t="s">
        <v>15</v>
      </c>
      <c r="F46">
        <v>3</v>
      </c>
      <c r="G46">
        <v>3</v>
      </c>
      <c r="H46">
        <v>6</v>
      </c>
      <c r="I46">
        <v>6</v>
      </c>
      <c r="J46">
        <f>42+42+42</f>
        <v>126</v>
      </c>
      <c r="K46">
        <f>34+32+35</f>
        <v>101</v>
      </c>
      <c r="L46" t="s">
        <v>12</v>
      </c>
    </row>
    <row r="47" spans="1:12" x14ac:dyDescent="0.25">
      <c r="A47" t="s">
        <v>22</v>
      </c>
      <c r="B47" s="12">
        <v>45597</v>
      </c>
      <c r="C47" t="s">
        <v>169</v>
      </c>
      <c r="D47" s="14">
        <v>0</v>
      </c>
      <c r="E47" t="s">
        <v>15</v>
      </c>
      <c r="F47">
        <v>3</v>
      </c>
      <c r="G47">
        <v>3</v>
      </c>
      <c r="H47">
        <v>7</v>
      </c>
      <c r="I47">
        <v>6</v>
      </c>
      <c r="J47">
        <f>57+42+42</f>
        <v>141</v>
      </c>
      <c r="K47">
        <f>59+31+35</f>
        <v>125</v>
      </c>
      <c r="L47" t="s">
        <v>12</v>
      </c>
    </row>
    <row r="48" spans="1:12" x14ac:dyDescent="0.25">
      <c r="A48" t="s">
        <v>22</v>
      </c>
      <c r="B48" s="12">
        <v>45597</v>
      </c>
      <c r="C48" t="s">
        <v>99</v>
      </c>
      <c r="D48" s="14">
        <v>2</v>
      </c>
      <c r="E48" t="s">
        <v>15</v>
      </c>
      <c r="F48">
        <v>3</v>
      </c>
      <c r="G48">
        <v>3</v>
      </c>
      <c r="H48">
        <v>8</v>
      </c>
      <c r="I48">
        <v>6</v>
      </c>
      <c r="J48">
        <f>57+42+59</f>
        <v>158</v>
      </c>
      <c r="K48">
        <f>59+32+59</f>
        <v>150</v>
      </c>
      <c r="L48" t="s">
        <v>12</v>
      </c>
    </row>
    <row r="49" spans="1:12" x14ac:dyDescent="0.25">
      <c r="A49" t="s">
        <v>22</v>
      </c>
      <c r="B49" s="12">
        <v>45597</v>
      </c>
      <c r="C49" t="s">
        <v>95</v>
      </c>
      <c r="D49" s="14">
        <v>4</v>
      </c>
      <c r="E49" t="s">
        <v>12</v>
      </c>
      <c r="F49">
        <v>3</v>
      </c>
      <c r="G49">
        <v>0</v>
      </c>
      <c r="H49">
        <v>7</v>
      </c>
      <c r="I49">
        <v>1</v>
      </c>
      <c r="J49">
        <f>34+31+59</f>
        <v>124</v>
      </c>
      <c r="K49">
        <f>42+42+59</f>
        <v>143</v>
      </c>
      <c r="L49" t="s">
        <v>15</v>
      </c>
    </row>
    <row r="50" spans="1:12" x14ac:dyDescent="0.25">
      <c r="A50" t="s">
        <v>22</v>
      </c>
      <c r="B50" s="12">
        <v>45597</v>
      </c>
      <c r="C50" t="s">
        <v>121</v>
      </c>
      <c r="D50" s="14">
        <v>8</v>
      </c>
      <c r="E50" t="s">
        <v>12</v>
      </c>
      <c r="F50">
        <v>3</v>
      </c>
      <c r="G50">
        <v>0</v>
      </c>
      <c r="H50">
        <v>6</v>
      </c>
      <c r="I50">
        <v>0</v>
      </c>
      <c r="J50">
        <f>34+32+35</f>
        <v>101</v>
      </c>
      <c r="K50">
        <f>42+42+42</f>
        <v>126</v>
      </c>
      <c r="L50" t="s">
        <v>15</v>
      </c>
    </row>
    <row r="51" spans="1:12" x14ac:dyDescent="0.25">
      <c r="A51" t="s">
        <v>22</v>
      </c>
      <c r="B51" s="12">
        <v>45597</v>
      </c>
      <c r="C51" t="s">
        <v>96</v>
      </c>
      <c r="D51" s="14">
        <v>12</v>
      </c>
      <c r="E51" t="s">
        <v>12</v>
      </c>
      <c r="F51">
        <v>3</v>
      </c>
      <c r="G51">
        <v>0</v>
      </c>
      <c r="H51">
        <v>7</v>
      </c>
      <c r="I51">
        <v>1</v>
      </c>
      <c r="J51">
        <f>59+31+35</f>
        <v>125</v>
      </c>
      <c r="K51">
        <f>57+42+42</f>
        <v>141</v>
      </c>
      <c r="L51" t="s">
        <v>15</v>
      </c>
    </row>
    <row r="52" spans="1:12" x14ac:dyDescent="0.25">
      <c r="A52" t="s">
        <v>22</v>
      </c>
      <c r="B52" s="12">
        <v>45597</v>
      </c>
      <c r="C52" t="s">
        <v>122</v>
      </c>
      <c r="D52" s="14">
        <v>12</v>
      </c>
      <c r="E52" t="s">
        <v>12</v>
      </c>
      <c r="F52">
        <v>3</v>
      </c>
      <c r="G52">
        <v>0</v>
      </c>
      <c r="H52">
        <v>8</v>
      </c>
      <c r="I52">
        <v>2</v>
      </c>
      <c r="J52">
        <f>59+32+59</f>
        <v>150</v>
      </c>
      <c r="K52">
        <f>57+42+59</f>
        <v>158</v>
      </c>
      <c r="L52" t="s">
        <v>15</v>
      </c>
    </row>
    <row r="53" spans="1:12" x14ac:dyDescent="0.25">
      <c r="A53" t="s">
        <v>22</v>
      </c>
      <c r="B53" s="12">
        <v>45597</v>
      </c>
      <c r="C53" t="s">
        <v>51</v>
      </c>
      <c r="D53" s="14">
        <v>-6</v>
      </c>
      <c r="E53" t="s">
        <v>14</v>
      </c>
      <c r="F53">
        <v>3</v>
      </c>
      <c r="G53">
        <v>3</v>
      </c>
      <c r="H53">
        <v>6</v>
      </c>
      <c r="I53">
        <v>6</v>
      </c>
      <c r="J53">
        <f>42+42+42</f>
        <v>126</v>
      </c>
      <c r="K53">
        <f>34+38+28</f>
        <v>100</v>
      </c>
      <c r="L53" t="s">
        <v>16</v>
      </c>
    </row>
    <row r="54" spans="1:12" x14ac:dyDescent="0.25">
      <c r="A54" t="s">
        <v>22</v>
      </c>
      <c r="B54" s="12">
        <v>45597</v>
      </c>
      <c r="C54" t="s">
        <v>48</v>
      </c>
      <c r="D54" s="14">
        <v>-6</v>
      </c>
      <c r="E54" t="s">
        <v>14</v>
      </c>
      <c r="F54">
        <v>3</v>
      </c>
      <c r="G54">
        <v>3</v>
      </c>
      <c r="H54">
        <v>7</v>
      </c>
      <c r="I54">
        <v>6</v>
      </c>
      <c r="J54">
        <f>42+60+42</f>
        <v>144</v>
      </c>
      <c r="K54">
        <f>34+44+26</f>
        <v>104</v>
      </c>
      <c r="L54" t="s">
        <v>16</v>
      </c>
    </row>
    <row r="55" spans="1:12" x14ac:dyDescent="0.25">
      <c r="A55" t="s">
        <v>22</v>
      </c>
      <c r="B55" s="12">
        <v>45597</v>
      </c>
      <c r="C55" t="s">
        <v>114</v>
      </c>
      <c r="D55" s="14">
        <v>-2</v>
      </c>
      <c r="E55" t="s">
        <v>14</v>
      </c>
      <c r="F55">
        <v>3</v>
      </c>
      <c r="G55">
        <v>3</v>
      </c>
      <c r="H55">
        <v>7</v>
      </c>
      <c r="I55">
        <v>6</v>
      </c>
      <c r="J55">
        <f>60+42+42</f>
        <v>144</v>
      </c>
      <c r="K55">
        <f>48+38+26</f>
        <v>112</v>
      </c>
      <c r="L55" t="s">
        <v>16</v>
      </c>
    </row>
    <row r="56" spans="1:12" x14ac:dyDescent="0.25">
      <c r="A56" t="s">
        <v>22</v>
      </c>
      <c r="B56" s="12">
        <v>45597</v>
      </c>
      <c r="C56" t="s">
        <v>115</v>
      </c>
      <c r="D56" s="14">
        <v>10</v>
      </c>
      <c r="E56" t="s">
        <v>14</v>
      </c>
      <c r="F56">
        <v>3</v>
      </c>
      <c r="G56">
        <v>3</v>
      </c>
      <c r="H56">
        <v>8</v>
      </c>
      <c r="I56">
        <v>6</v>
      </c>
      <c r="J56">
        <f>60+60+42</f>
        <v>162</v>
      </c>
      <c r="K56">
        <f>48+44+28</f>
        <v>120</v>
      </c>
      <c r="L56" t="s">
        <v>16</v>
      </c>
    </row>
    <row r="57" spans="1:12" x14ac:dyDescent="0.25">
      <c r="A57" t="s">
        <v>22</v>
      </c>
      <c r="B57" s="12">
        <v>45597</v>
      </c>
      <c r="C57" t="s">
        <v>170</v>
      </c>
      <c r="D57" s="14">
        <v>-2</v>
      </c>
      <c r="E57" t="s">
        <v>16</v>
      </c>
      <c r="F57">
        <v>3</v>
      </c>
      <c r="G57">
        <v>0</v>
      </c>
      <c r="H57">
        <v>6</v>
      </c>
      <c r="I57">
        <v>0</v>
      </c>
      <c r="J57">
        <f>34+38+28</f>
        <v>100</v>
      </c>
      <c r="K57">
        <f>42+42+42</f>
        <v>126</v>
      </c>
      <c r="L57" t="s">
        <v>14</v>
      </c>
    </row>
    <row r="58" spans="1:12" x14ac:dyDescent="0.25">
      <c r="A58" t="s">
        <v>22</v>
      </c>
      <c r="B58" s="12">
        <v>45597</v>
      </c>
      <c r="C58" t="s">
        <v>171</v>
      </c>
      <c r="D58" s="14">
        <v>-2</v>
      </c>
      <c r="E58" t="s">
        <v>16</v>
      </c>
      <c r="F58">
        <v>3</v>
      </c>
      <c r="G58">
        <v>0</v>
      </c>
      <c r="H58">
        <v>7</v>
      </c>
      <c r="I58">
        <v>1</v>
      </c>
      <c r="J58">
        <f>34+44+26</f>
        <v>104</v>
      </c>
      <c r="K58">
        <f>42+60+42</f>
        <v>144</v>
      </c>
      <c r="L58" t="s">
        <v>14</v>
      </c>
    </row>
    <row r="59" spans="1:12" x14ac:dyDescent="0.25">
      <c r="A59" t="s">
        <v>22</v>
      </c>
      <c r="B59" s="12">
        <v>45597</v>
      </c>
      <c r="C59" t="s">
        <v>172</v>
      </c>
      <c r="D59" s="14">
        <v>2</v>
      </c>
      <c r="E59" t="s">
        <v>16</v>
      </c>
      <c r="F59">
        <v>3</v>
      </c>
      <c r="G59">
        <v>0</v>
      </c>
      <c r="H59">
        <v>7</v>
      </c>
      <c r="I59">
        <v>1</v>
      </c>
      <c r="J59">
        <f>48+38+26</f>
        <v>112</v>
      </c>
      <c r="K59">
        <f>60+42+42</f>
        <v>144</v>
      </c>
      <c r="L59" t="s">
        <v>14</v>
      </c>
    </row>
    <row r="60" spans="1:12" x14ac:dyDescent="0.25">
      <c r="A60" t="s">
        <v>22</v>
      </c>
      <c r="B60" s="12">
        <v>45597</v>
      </c>
      <c r="C60" t="s">
        <v>173</v>
      </c>
      <c r="D60" s="14">
        <v>12</v>
      </c>
      <c r="E60" t="s">
        <v>16</v>
      </c>
      <c r="F60">
        <v>3</v>
      </c>
      <c r="G60">
        <v>0</v>
      </c>
      <c r="H60">
        <v>8</v>
      </c>
      <c r="I60">
        <v>2</v>
      </c>
      <c r="J60">
        <f>48+44+28</f>
        <v>120</v>
      </c>
      <c r="K60">
        <f>60+60+42</f>
        <v>162</v>
      </c>
      <c r="L60" t="s">
        <v>14</v>
      </c>
    </row>
    <row r="61" spans="1:12" x14ac:dyDescent="0.25">
      <c r="A61" t="s">
        <v>22</v>
      </c>
      <c r="B61" s="12">
        <v>45604</v>
      </c>
      <c r="C61" t="s">
        <v>42</v>
      </c>
      <c r="D61" s="14">
        <v>6</v>
      </c>
      <c r="E61" t="s">
        <v>13</v>
      </c>
      <c r="F61">
        <v>3</v>
      </c>
      <c r="G61">
        <v>2</v>
      </c>
      <c r="H61">
        <v>7</v>
      </c>
      <c r="I61">
        <v>5</v>
      </c>
      <c r="J61">
        <f>42+57+42</f>
        <v>141</v>
      </c>
      <c r="K61">
        <f>28+53+25</f>
        <v>106</v>
      </c>
      <c r="L61" t="s">
        <v>12</v>
      </c>
    </row>
    <row r="62" spans="1:12" x14ac:dyDescent="0.25">
      <c r="A62" t="s">
        <v>22</v>
      </c>
      <c r="B62" s="12">
        <v>45604</v>
      </c>
      <c r="C62" t="s">
        <v>41</v>
      </c>
      <c r="D62" s="14">
        <v>6</v>
      </c>
      <c r="E62" t="s">
        <v>13</v>
      </c>
      <c r="F62">
        <v>3</v>
      </c>
      <c r="G62">
        <v>3</v>
      </c>
      <c r="H62">
        <v>8</v>
      </c>
      <c r="I62">
        <v>6</v>
      </c>
      <c r="J62">
        <f>42+61+60</f>
        <v>163</v>
      </c>
      <c r="K62">
        <f>28+55+61</f>
        <v>144</v>
      </c>
      <c r="L62" t="s">
        <v>12</v>
      </c>
    </row>
    <row r="63" spans="1:12" x14ac:dyDescent="0.25">
      <c r="A63" t="s">
        <v>22</v>
      </c>
      <c r="B63" s="12">
        <v>45604</v>
      </c>
      <c r="C63" t="s">
        <v>108</v>
      </c>
      <c r="D63" s="14">
        <v>8</v>
      </c>
      <c r="E63" t="s">
        <v>13</v>
      </c>
      <c r="F63">
        <v>3</v>
      </c>
      <c r="G63">
        <v>1</v>
      </c>
      <c r="H63">
        <v>8</v>
      </c>
      <c r="I63">
        <v>3</v>
      </c>
      <c r="J63">
        <f>33+57+60</f>
        <v>150</v>
      </c>
      <c r="K63">
        <f>42+53+61</f>
        <v>156</v>
      </c>
      <c r="L63" t="s">
        <v>12</v>
      </c>
    </row>
    <row r="64" spans="1:12" x14ac:dyDescent="0.25">
      <c r="A64" t="s">
        <v>22</v>
      </c>
      <c r="B64" s="12">
        <v>45604</v>
      </c>
      <c r="C64" t="s">
        <v>174</v>
      </c>
      <c r="D64" s="14">
        <v>12</v>
      </c>
      <c r="E64" t="s">
        <v>13</v>
      </c>
      <c r="F64">
        <v>3</v>
      </c>
      <c r="G64">
        <v>2</v>
      </c>
      <c r="H64">
        <v>7</v>
      </c>
      <c r="I64">
        <v>4</v>
      </c>
      <c r="J64">
        <f>33+61+42</f>
        <v>136</v>
      </c>
      <c r="K64">
        <f>42+55+25</f>
        <v>122</v>
      </c>
      <c r="L64" t="s">
        <v>12</v>
      </c>
    </row>
    <row r="65" spans="1:12" x14ac:dyDescent="0.25">
      <c r="A65" t="s">
        <v>22</v>
      </c>
      <c r="B65" s="12">
        <v>45604</v>
      </c>
      <c r="C65" t="s">
        <v>95</v>
      </c>
      <c r="D65" s="14">
        <v>4</v>
      </c>
      <c r="E65" t="s">
        <v>12</v>
      </c>
      <c r="F65">
        <v>3</v>
      </c>
      <c r="G65">
        <v>1</v>
      </c>
      <c r="H65">
        <v>7</v>
      </c>
      <c r="I65">
        <v>2</v>
      </c>
      <c r="J65">
        <f>28+53+25</f>
        <v>106</v>
      </c>
      <c r="K65">
        <f>42+57+42</f>
        <v>141</v>
      </c>
      <c r="L65" t="s">
        <v>13</v>
      </c>
    </row>
    <row r="66" spans="1:12" x14ac:dyDescent="0.25">
      <c r="A66" t="s">
        <v>22</v>
      </c>
      <c r="B66" s="12">
        <v>45604</v>
      </c>
      <c r="C66" t="s">
        <v>113</v>
      </c>
      <c r="D66" s="14">
        <v>6</v>
      </c>
      <c r="E66" t="s">
        <v>12</v>
      </c>
      <c r="F66">
        <v>3</v>
      </c>
      <c r="G66">
        <v>0</v>
      </c>
      <c r="H66">
        <v>8</v>
      </c>
      <c r="I66">
        <v>2</v>
      </c>
      <c r="J66">
        <f>28+55+61</f>
        <v>144</v>
      </c>
      <c r="K66">
        <f>42+61+60</f>
        <v>163</v>
      </c>
      <c r="L66" t="s">
        <v>13</v>
      </c>
    </row>
    <row r="67" spans="1:12" x14ac:dyDescent="0.25">
      <c r="A67" t="s">
        <v>22</v>
      </c>
      <c r="B67" s="12">
        <v>45604</v>
      </c>
      <c r="C67" t="s">
        <v>112</v>
      </c>
      <c r="D67" s="14">
        <v>6</v>
      </c>
      <c r="E67" t="s">
        <v>12</v>
      </c>
      <c r="F67">
        <v>3</v>
      </c>
      <c r="G67">
        <v>2</v>
      </c>
      <c r="H67">
        <v>8</v>
      </c>
      <c r="I67">
        <v>5</v>
      </c>
      <c r="J67">
        <f>42+53+61</f>
        <v>156</v>
      </c>
      <c r="K67">
        <f>33+57+60</f>
        <v>150</v>
      </c>
      <c r="L67" t="s">
        <v>13</v>
      </c>
    </row>
    <row r="68" spans="1:12" x14ac:dyDescent="0.25">
      <c r="A68" t="s">
        <v>22</v>
      </c>
      <c r="B68" s="12">
        <v>45604</v>
      </c>
      <c r="C68" t="s">
        <v>122</v>
      </c>
      <c r="D68" s="14">
        <v>12</v>
      </c>
      <c r="E68" t="s">
        <v>12</v>
      </c>
      <c r="F68">
        <v>3</v>
      </c>
      <c r="G68">
        <v>1</v>
      </c>
      <c r="H68">
        <v>7</v>
      </c>
      <c r="I68">
        <v>3</v>
      </c>
      <c r="J68">
        <f>42+55+25</f>
        <v>122</v>
      </c>
      <c r="K68">
        <f>33+61+42</f>
        <v>136</v>
      </c>
      <c r="L68" t="s">
        <v>13</v>
      </c>
    </row>
    <row r="69" spans="1:12" x14ac:dyDescent="0.25">
      <c r="A69" t="s">
        <v>22</v>
      </c>
      <c r="B69" s="12">
        <v>45618</v>
      </c>
      <c r="C69" t="s">
        <v>112</v>
      </c>
      <c r="D69" s="14">
        <v>6</v>
      </c>
      <c r="E69" t="s">
        <v>12</v>
      </c>
      <c r="F69">
        <v>3</v>
      </c>
      <c r="G69">
        <v>1</v>
      </c>
      <c r="H69">
        <v>9</v>
      </c>
      <c r="I69">
        <v>4</v>
      </c>
      <c r="J69">
        <f>58+53+56</f>
        <v>167</v>
      </c>
      <c r="K69">
        <f>60+57+55</f>
        <v>172</v>
      </c>
      <c r="L69" t="s">
        <v>18</v>
      </c>
    </row>
    <row r="70" spans="1:12" x14ac:dyDescent="0.25">
      <c r="A70" t="s">
        <v>22</v>
      </c>
      <c r="B70" s="12">
        <v>45618</v>
      </c>
      <c r="C70" t="s">
        <v>122</v>
      </c>
      <c r="D70" s="14">
        <v>12</v>
      </c>
      <c r="E70" t="s">
        <v>12</v>
      </c>
      <c r="F70">
        <v>3</v>
      </c>
      <c r="G70">
        <v>1</v>
      </c>
      <c r="H70">
        <v>7</v>
      </c>
      <c r="I70">
        <v>3</v>
      </c>
      <c r="J70">
        <f>58+42+36</f>
        <v>136</v>
      </c>
      <c r="K70">
        <f>60+40+42</f>
        <v>142</v>
      </c>
      <c r="L70" t="s">
        <v>18</v>
      </c>
    </row>
    <row r="71" spans="1:12" x14ac:dyDescent="0.25">
      <c r="A71" t="s">
        <v>22</v>
      </c>
      <c r="B71" s="12">
        <v>45618</v>
      </c>
      <c r="C71" t="s">
        <v>121</v>
      </c>
      <c r="D71" s="14">
        <v>8</v>
      </c>
      <c r="E71" t="s">
        <v>12</v>
      </c>
      <c r="F71">
        <v>3</v>
      </c>
      <c r="G71">
        <v>0</v>
      </c>
      <c r="H71">
        <v>7</v>
      </c>
      <c r="I71">
        <v>1</v>
      </c>
      <c r="J71">
        <f>30+53+36</f>
        <v>119</v>
      </c>
      <c r="K71">
        <f>42+57+42</f>
        <v>141</v>
      </c>
      <c r="L71" t="s">
        <v>18</v>
      </c>
    </row>
    <row r="72" spans="1:12" x14ac:dyDescent="0.25">
      <c r="A72" t="s">
        <v>22</v>
      </c>
      <c r="B72" s="12">
        <v>45618</v>
      </c>
      <c r="C72" t="s">
        <v>96</v>
      </c>
      <c r="D72" s="14">
        <v>12</v>
      </c>
      <c r="E72" t="s">
        <v>12</v>
      </c>
      <c r="F72">
        <v>3</v>
      </c>
      <c r="G72">
        <v>2</v>
      </c>
      <c r="H72">
        <v>7</v>
      </c>
      <c r="I72">
        <v>4</v>
      </c>
      <c r="J72">
        <f>30+42+56</f>
        <v>128</v>
      </c>
      <c r="K72">
        <f>42+40+55</f>
        <v>137</v>
      </c>
      <c r="L72" t="s">
        <v>18</v>
      </c>
    </row>
    <row r="73" spans="1:12" x14ac:dyDescent="0.25">
      <c r="A73" t="s">
        <v>22</v>
      </c>
      <c r="B73" s="12">
        <v>45618</v>
      </c>
      <c r="C73" t="s">
        <v>124</v>
      </c>
      <c r="D73" s="14">
        <v>-6</v>
      </c>
      <c r="E73" t="s">
        <v>18</v>
      </c>
      <c r="F73">
        <v>3</v>
      </c>
      <c r="G73">
        <v>2</v>
      </c>
      <c r="H73">
        <v>9</v>
      </c>
      <c r="I73">
        <v>5</v>
      </c>
      <c r="J73">
        <f>60+57+55</f>
        <v>172</v>
      </c>
      <c r="K73">
        <f>58+53+56</f>
        <v>167</v>
      </c>
      <c r="L73" t="s">
        <v>12</v>
      </c>
    </row>
    <row r="74" spans="1:12" x14ac:dyDescent="0.25">
      <c r="A74" t="s">
        <v>22</v>
      </c>
      <c r="B74" s="12">
        <v>45618</v>
      </c>
      <c r="C74" t="s">
        <v>133</v>
      </c>
      <c r="D74" s="14">
        <v>4</v>
      </c>
      <c r="E74" t="s">
        <v>18</v>
      </c>
      <c r="F74">
        <v>3</v>
      </c>
      <c r="G74">
        <v>2</v>
      </c>
      <c r="H74">
        <v>7</v>
      </c>
      <c r="I74">
        <v>4</v>
      </c>
      <c r="J74">
        <f>60+40+42</f>
        <v>142</v>
      </c>
      <c r="K74">
        <f>58+42+36</f>
        <v>136</v>
      </c>
      <c r="L74" t="s">
        <v>12</v>
      </c>
    </row>
    <row r="75" spans="1:12" x14ac:dyDescent="0.25">
      <c r="A75" t="s">
        <v>22</v>
      </c>
      <c r="B75" s="12">
        <v>45618</v>
      </c>
      <c r="C75" t="s">
        <v>175</v>
      </c>
      <c r="D75" s="14">
        <v>0</v>
      </c>
      <c r="E75" t="s">
        <v>18</v>
      </c>
      <c r="F75">
        <v>3</v>
      </c>
      <c r="G75">
        <v>3</v>
      </c>
      <c r="H75">
        <v>7</v>
      </c>
      <c r="I75">
        <v>6</v>
      </c>
      <c r="J75">
        <f>42+57+42</f>
        <v>141</v>
      </c>
      <c r="K75">
        <f>30+53+36</f>
        <v>119</v>
      </c>
      <c r="L75" t="s">
        <v>12</v>
      </c>
    </row>
    <row r="76" spans="1:12" x14ac:dyDescent="0.25">
      <c r="A76" t="s">
        <v>22</v>
      </c>
      <c r="B76" s="12">
        <v>45618</v>
      </c>
      <c r="C76" t="s">
        <v>103</v>
      </c>
      <c r="D76" s="14">
        <v>4</v>
      </c>
      <c r="E76" t="s">
        <v>18</v>
      </c>
      <c r="F76">
        <v>3</v>
      </c>
      <c r="G76">
        <v>1</v>
      </c>
      <c r="H76">
        <v>7</v>
      </c>
      <c r="I76">
        <v>3</v>
      </c>
      <c r="J76">
        <f>42+40+55</f>
        <v>137</v>
      </c>
      <c r="K76">
        <f>30+42+56</f>
        <v>128</v>
      </c>
      <c r="L76" t="s">
        <v>12</v>
      </c>
    </row>
    <row r="77" spans="1:12" x14ac:dyDescent="0.25">
      <c r="A77" t="s">
        <v>22</v>
      </c>
      <c r="B77" s="12">
        <v>45624</v>
      </c>
      <c r="C77" t="s">
        <v>170</v>
      </c>
      <c r="D77" s="14">
        <v>-2</v>
      </c>
      <c r="E77" t="s">
        <v>16</v>
      </c>
      <c r="F77">
        <v>3</v>
      </c>
      <c r="G77">
        <v>2</v>
      </c>
      <c r="H77">
        <v>7</v>
      </c>
      <c r="I77">
        <v>4</v>
      </c>
      <c r="J77">
        <f>42+60+33</f>
        <v>135</v>
      </c>
      <c r="K77">
        <f>29+59+42</f>
        <v>130</v>
      </c>
      <c r="L77" t="s">
        <v>10</v>
      </c>
    </row>
    <row r="78" spans="1:12" x14ac:dyDescent="0.25">
      <c r="A78" t="s">
        <v>22</v>
      </c>
      <c r="B78" s="12">
        <v>45624</v>
      </c>
      <c r="C78" t="s">
        <v>176</v>
      </c>
      <c r="D78" s="14">
        <v>-4</v>
      </c>
      <c r="E78" t="s">
        <v>16</v>
      </c>
      <c r="F78">
        <v>3</v>
      </c>
      <c r="G78">
        <v>2</v>
      </c>
      <c r="H78">
        <v>6</v>
      </c>
      <c r="I78">
        <v>4</v>
      </c>
      <c r="J78">
        <f>42+36+42</f>
        <v>120</v>
      </c>
      <c r="K78">
        <f>29+42+33</f>
        <v>104</v>
      </c>
      <c r="L78" t="s">
        <v>10</v>
      </c>
    </row>
    <row r="79" spans="1:12" x14ac:dyDescent="0.25">
      <c r="A79" t="s">
        <v>22</v>
      </c>
      <c r="B79" s="12">
        <v>45624</v>
      </c>
      <c r="C79" t="s">
        <v>171</v>
      </c>
      <c r="D79" s="14">
        <v>-2</v>
      </c>
      <c r="E79" t="s">
        <v>16</v>
      </c>
      <c r="F79">
        <v>3</v>
      </c>
      <c r="G79">
        <v>2</v>
      </c>
      <c r="H79">
        <v>7</v>
      </c>
      <c r="I79">
        <v>4</v>
      </c>
      <c r="J79">
        <f>30+60+42</f>
        <v>132</v>
      </c>
      <c r="K79">
        <f>42+59+33</f>
        <v>134</v>
      </c>
      <c r="L79" t="s">
        <v>10</v>
      </c>
    </row>
    <row r="80" spans="1:12" x14ac:dyDescent="0.25">
      <c r="A80" t="s">
        <v>22</v>
      </c>
      <c r="B80" s="12">
        <v>45624</v>
      </c>
      <c r="C80" t="s">
        <v>173</v>
      </c>
      <c r="D80" s="14">
        <v>12</v>
      </c>
      <c r="E80" t="s">
        <v>16</v>
      </c>
      <c r="F80">
        <v>3</v>
      </c>
      <c r="G80">
        <v>0</v>
      </c>
      <c r="H80">
        <v>6</v>
      </c>
      <c r="I80">
        <v>0</v>
      </c>
      <c r="J80">
        <f>30+36+33</f>
        <v>99</v>
      </c>
      <c r="K80">
        <f>42+42+42</f>
        <v>126</v>
      </c>
      <c r="L80" t="s">
        <v>10</v>
      </c>
    </row>
    <row r="81" spans="1:12" x14ac:dyDescent="0.25">
      <c r="A81" t="s">
        <v>22</v>
      </c>
      <c r="B81" s="12">
        <v>45624</v>
      </c>
      <c r="C81" t="s">
        <v>57</v>
      </c>
      <c r="D81" s="14">
        <v>-2</v>
      </c>
      <c r="E81" t="s">
        <v>10</v>
      </c>
      <c r="F81">
        <v>3</v>
      </c>
      <c r="G81">
        <v>1</v>
      </c>
      <c r="H81">
        <v>7</v>
      </c>
      <c r="I81">
        <v>3</v>
      </c>
      <c r="J81">
        <f>29+59+42</f>
        <v>130</v>
      </c>
      <c r="K81">
        <f>42+60+33</f>
        <v>135</v>
      </c>
      <c r="L81" t="s">
        <v>16</v>
      </c>
    </row>
    <row r="82" spans="1:12" x14ac:dyDescent="0.25">
      <c r="A82" t="s">
        <v>22</v>
      </c>
      <c r="B82" s="12">
        <v>45624</v>
      </c>
      <c r="C82" t="s">
        <v>58</v>
      </c>
      <c r="D82" s="14">
        <v>2</v>
      </c>
      <c r="E82" t="s">
        <v>10</v>
      </c>
      <c r="F82">
        <v>3</v>
      </c>
      <c r="G82">
        <v>1</v>
      </c>
      <c r="H82">
        <v>6</v>
      </c>
      <c r="I82">
        <v>2</v>
      </c>
      <c r="J82">
        <f>29+42+33</f>
        <v>104</v>
      </c>
      <c r="K82">
        <f>42+36+42</f>
        <v>120</v>
      </c>
      <c r="L82" t="s">
        <v>16</v>
      </c>
    </row>
    <row r="83" spans="1:12" x14ac:dyDescent="0.25">
      <c r="A83" t="s">
        <v>22</v>
      </c>
      <c r="B83" s="12">
        <v>45624</v>
      </c>
      <c r="C83" t="s">
        <v>177</v>
      </c>
      <c r="D83" s="14">
        <v>4</v>
      </c>
      <c r="E83" t="s">
        <v>10</v>
      </c>
      <c r="F83">
        <v>3</v>
      </c>
      <c r="G83">
        <v>1</v>
      </c>
      <c r="H83">
        <v>7</v>
      </c>
      <c r="I83">
        <v>3</v>
      </c>
      <c r="J83">
        <f>42+59+33</f>
        <v>134</v>
      </c>
      <c r="K83">
        <f>30+60+42</f>
        <v>132</v>
      </c>
      <c r="L83" t="s">
        <v>16</v>
      </c>
    </row>
    <row r="84" spans="1:12" x14ac:dyDescent="0.25">
      <c r="A84" t="s">
        <v>22</v>
      </c>
      <c r="B84" s="12">
        <v>45624</v>
      </c>
      <c r="C84" t="s">
        <v>37</v>
      </c>
      <c r="D84" s="14">
        <v>4</v>
      </c>
      <c r="E84" t="s">
        <v>10</v>
      </c>
      <c r="F84">
        <v>3</v>
      </c>
      <c r="G84">
        <v>3</v>
      </c>
      <c r="H84">
        <v>6</v>
      </c>
      <c r="I84">
        <v>6</v>
      </c>
      <c r="J84">
        <f>42+42+42</f>
        <v>126</v>
      </c>
      <c r="K84">
        <f>30+36+33</f>
        <v>99</v>
      </c>
      <c r="L84" t="s">
        <v>16</v>
      </c>
    </row>
    <row r="85" spans="1:12" x14ac:dyDescent="0.25">
      <c r="A85" t="s">
        <v>22</v>
      </c>
      <c r="B85" s="12">
        <v>45625</v>
      </c>
      <c r="C85" t="s">
        <v>48</v>
      </c>
      <c r="D85" s="14">
        <v>-6</v>
      </c>
      <c r="E85" t="s">
        <v>14</v>
      </c>
      <c r="F85">
        <v>3</v>
      </c>
      <c r="G85">
        <v>3</v>
      </c>
      <c r="H85">
        <v>7</v>
      </c>
      <c r="I85">
        <v>6</v>
      </c>
      <c r="J85">
        <f>42+62+42</f>
        <v>146</v>
      </c>
      <c r="K85">
        <f>31+57+37</f>
        <v>125</v>
      </c>
      <c r="L85" t="s">
        <v>12</v>
      </c>
    </row>
    <row r="86" spans="1:12" x14ac:dyDescent="0.25">
      <c r="A86" t="s">
        <v>22</v>
      </c>
      <c r="B86" s="12">
        <v>45625</v>
      </c>
      <c r="C86" t="s">
        <v>178</v>
      </c>
      <c r="D86" s="14">
        <v>-4</v>
      </c>
      <c r="E86" t="s">
        <v>14</v>
      </c>
      <c r="F86">
        <v>3</v>
      </c>
      <c r="G86">
        <v>3</v>
      </c>
      <c r="H86">
        <v>6</v>
      </c>
      <c r="I86">
        <v>6</v>
      </c>
      <c r="J86">
        <f>42+42+42</f>
        <v>126</v>
      </c>
      <c r="K86">
        <f>31+37+36</f>
        <v>104</v>
      </c>
      <c r="L86" t="s">
        <v>12</v>
      </c>
    </row>
    <row r="87" spans="1:12" x14ac:dyDescent="0.25">
      <c r="A87" t="s">
        <v>22</v>
      </c>
      <c r="B87" s="12">
        <v>45625</v>
      </c>
      <c r="C87" t="s">
        <v>179</v>
      </c>
      <c r="D87" s="14">
        <v>4</v>
      </c>
      <c r="E87" t="s">
        <v>14</v>
      </c>
      <c r="F87">
        <v>3</v>
      </c>
      <c r="G87">
        <v>2</v>
      </c>
      <c r="H87">
        <v>7</v>
      </c>
      <c r="I87">
        <v>4</v>
      </c>
      <c r="J87">
        <f>29+62+42</f>
        <v>133</v>
      </c>
      <c r="K87">
        <f>42+57+36</f>
        <v>135</v>
      </c>
      <c r="L87" t="s">
        <v>12</v>
      </c>
    </row>
    <row r="88" spans="1:12" x14ac:dyDescent="0.25">
      <c r="A88" t="s">
        <v>22</v>
      </c>
      <c r="B88" s="12">
        <v>45625</v>
      </c>
      <c r="C88" t="s">
        <v>115</v>
      </c>
      <c r="D88" s="14">
        <v>10</v>
      </c>
      <c r="E88" t="s">
        <v>14</v>
      </c>
      <c r="F88">
        <v>3</v>
      </c>
      <c r="G88">
        <v>2</v>
      </c>
      <c r="H88">
        <v>6</v>
      </c>
      <c r="I88">
        <v>4</v>
      </c>
      <c r="J88">
        <f>29+42+42</f>
        <v>113</v>
      </c>
      <c r="K88">
        <f>42+37+37</f>
        <v>116</v>
      </c>
      <c r="L88" t="s">
        <v>12</v>
      </c>
    </row>
    <row r="89" spans="1:12" x14ac:dyDescent="0.25">
      <c r="A89" t="s">
        <v>22</v>
      </c>
      <c r="B89" s="12">
        <v>45625</v>
      </c>
      <c r="C89" t="s">
        <v>121</v>
      </c>
      <c r="D89" s="14">
        <v>8</v>
      </c>
      <c r="E89" t="s">
        <v>12</v>
      </c>
      <c r="F89">
        <v>3</v>
      </c>
      <c r="G89">
        <v>0</v>
      </c>
      <c r="H89">
        <v>7</v>
      </c>
      <c r="I89">
        <v>1</v>
      </c>
      <c r="J89">
        <f>31+57+37</f>
        <v>125</v>
      </c>
      <c r="K89">
        <f>42+62+42</f>
        <v>146</v>
      </c>
      <c r="L89" t="s">
        <v>14</v>
      </c>
    </row>
    <row r="90" spans="1:12" x14ac:dyDescent="0.25">
      <c r="A90" t="s">
        <v>22</v>
      </c>
      <c r="B90" s="12">
        <v>45625</v>
      </c>
      <c r="C90" t="s">
        <v>122</v>
      </c>
      <c r="D90" s="14">
        <v>12</v>
      </c>
      <c r="E90" t="s">
        <v>12</v>
      </c>
      <c r="F90">
        <v>3</v>
      </c>
      <c r="G90">
        <v>0</v>
      </c>
      <c r="H90">
        <v>6</v>
      </c>
      <c r="I90">
        <v>0</v>
      </c>
      <c r="J90">
        <f>31+37+36</f>
        <v>104</v>
      </c>
      <c r="K90">
        <f>42+42+42</f>
        <v>126</v>
      </c>
      <c r="L90" t="s">
        <v>14</v>
      </c>
    </row>
    <row r="91" spans="1:12" x14ac:dyDescent="0.25">
      <c r="A91" t="s">
        <v>22</v>
      </c>
      <c r="B91" s="12">
        <v>45625</v>
      </c>
      <c r="C91" t="s">
        <v>112</v>
      </c>
      <c r="D91" s="14">
        <v>6</v>
      </c>
      <c r="E91" t="s">
        <v>12</v>
      </c>
      <c r="F91">
        <v>3</v>
      </c>
      <c r="G91">
        <v>1</v>
      </c>
      <c r="H91">
        <v>7</v>
      </c>
      <c r="I91">
        <v>3</v>
      </c>
      <c r="J91">
        <f>42+57+36</f>
        <v>135</v>
      </c>
      <c r="K91">
        <f>29+62+42</f>
        <v>133</v>
      </c>
      <c r="L91" t="s">
        <v>14</v>
      </c>
    </row>
    <row r="92" spans="1:12" x14ac:dyDescent="0.25">
      <c r="A92" t="s">
        <v>22</v>
      </c>
      <c r="B92" s="12">
        <v>45625</v>
      </c>
      <c r="C92" t="s">
        <v>95</v>
      </c>
      <c r="D92" s="14">
        <v>4</v>
      </c>
      <c r="E92" t="s">
        <v>12</v>
      </c>
      <c r="F92">
        <v>3</v>
      </c>
      <c r="G92">
        <v>1</v>
      </c>
      <c r="H92">
        <v>6</v>
      </c>
      <c r="I92">
        <v>2</v>
      </c>
      <c r="J92">
        <f>42+37+37</f>
        <v>116</v>
      </c>
      <c r="K92">
        <f>29+42+42</f>
        <v>113</v>
      </c>
      <c r="L92" t="s">
        <v>14</v>
      </c>
    </row>
    <row r="93" spans="1:12" x14ac:dyDescent="0.25">
      <c r="A93" t="s">
        <v>22</v>
      </c>
      <c r="B93" s="12">
        <v>45637</v>
      </c>
      <c r="C93" t="s">
        <v>42</v>
      </c>
      <c r="D93" s="14">
        <v>4</v>
      </c>
      <c r="E93" t="s">
        <v>13</v>
      </c>
      <c r="F93">
        <v>3</v>
      </c>
      <c r="G93">
        <v>1</v>
      </c>
      <c r="H93">
        <v>7</v>
      </c>
      <c r="I93">
        <v>3</v>
      </c>
      <c r="J93">
        <f>42+52+32</f>
        <v>126</v>
      </c>
      <c r="K93">
        <f>34+54+42</f>
        <v>130</v>
      </c>
      <c r="L93" t="s">
        <v>12</v>
      </c>
    </row>
    <row r="94" spans="1:12" x14ac:dyDescent="0.25">
      <c r="A94" t="s">
        <v>22</v>
      </c>
      <c r="B94" s="12">
        <v>45637</v>
      </c>
      <c r="C94" t="s">
        <v>107</v>
      </c>
      <c r="D94" s="14">
        <v>6</v>
      </c>
      <c r="E94" t="s">
        <v>13</v>
      </c>
      <c r="F94">
        <v>3</v>
      </c>
      <c r="G94">
        <v>2</v>
      </c>
      <c r="H94">
        <v>7</v>
      </c>
      <c r="I94">
        <v>4</v>
      </c>
      <c r="J94">
        <f>42+32+62</f>
        <v>136</v>
      </c>
      <c r="K94">
        <f>34+42+54</f>
        <v>130</v>
      </c>
      <c r="L94" t="s">
        <v>12</v>
      </c>
    </row>
    <row r="95" spans="1:12" x14ac:dyDescent="0.25">
      <c r="A95" t="s">
        <v>22</v>
      </c>
      <c r="B95" s="12">
        <v>45637</v>
      </c>
      <c r="C95" t="s">
        <v>167</v>
      </c>
      <c r="D95" s="14">
        <v>10</v>
      </c>
      <c r="E95" t="s">
        <v>13</v>
      </c>
      <c r="F95">
        <v>3</v>
      </c>
      <c r="G95">
        <v>1</v>
      </c>
      <c r="H95">
        <v>8</v>
      </c>
      <c r="I95">
        <v>3</v>
      </c>
      <c r="J95">
        <f>34+52+62</f>
        <v>148</v>
      </c>
      <c r="K95">
        <f>42+54+54</f>
        <v>150</v>
      </c>
      <c r="L95" t="s">
        <v>12</v>
      </c>
    </row>
    <row r="96" spans="1:12" x14ac:dyDescent="0.25">
      <c r="A96" t="s">
        <v>22</v>
      </c>
      <c r="B96" s="12">
        <v>45637</v>
      </c>
      <c r="C96" t="s">
        <v>174</v>
      </c>
      <c r="D96" s="14">
        <v>12</v>
      </c>
      <c r="E96" t="s">
        <v>13</v>
      </c>
      <c r="F96">
        <v>3</v>
      </c>
      <c r="G96">
        <v>0</v>
      </c>
      <c r="H96">
        <v>6</v>
      </c>
      <c r="I96">
        <v>0</v>
      </c>
      <c r="J96">
        <f>34+32+32</f>
        <v>98</v>
      </c>
      <c r="K96">
        <f>42+42+42</f>
        <v>126</v>
      </c>
      <c r="L96" t="s">
        <v>12</v>
      </c>
    </row>
    <row r="97" spans="1:12" x14ac:dyDescent="0.25">
      <c r="A97" t="s">
        <v>22</v>
      </c>
      <c r="B97" s="12">
        <v>45637</v>
      </c>
      <c r="C97" t="s">
        <v>112</v>
      </c>
      <c r="D97" s="14">
        <v>6</v>
      </c>
      <c r="E97" t="s">
        <v>12</v>
      </c>
      <c r="F97">
        <v>3</v>
      </c>
      <c r="G97">
        <v>2</v>
      </c>
      <c r="H97">
        <v>7</v>
      </c>
      <c r="I97">
        <v>4</v>
      </c>
      <c r="J97">
        <f>34+54+42</f>
        <v>130</v>
      </c>
      <c r="K97">
        <f>42+52+32</f>
        <v>126</v>
      </c>
      <c r="L97" t="s">
        <v>13</v>
      </c>
    </row>
    <row r="98" spans="1:12" x14ac:dyDescent="0.25">
      <c r="A98" t="s">
        <v>22</v>
      </c>
      <c r="B98" s="12">
        <v>45637</v>
      </c>
      <c r="C98" t="s">
        <v>180</v>
      </c>
      <c r="D98" s="14" t="s">
        <v>181</v>
      </c>
      <c r="E98" t="s">
        <v>12</v>
      </c>
      <c r="F98">
        <v>3</v>
      </c>
      <c r="G98">
        <v>1</v>
      </c>
      <c r="H98">
        <v>7</v>
      </c>
      <c r="I98">
        <v>3</v>
      </c>
      <c r="J98">
        <f>34+42+54</f>
        <v>130</v>
      </c>
      <c r="K98">
        <f>42+32+62</f>
        <v>136</v>
      </c>
      <c r="L98" t="s">
        <v>13</v>
      </c>
    </row>
    <row r="99" spans="1:12" x14ac:dyDescent="0.25">
      <c r="A99" t="s">
        <v>22</v>
      </c>
      <c r="B99" s="12">
        <v>45637</v>
      </c>
      <c r="C99" t="s">
        <v>121</v>
      </c>
      <c r="D99" s="14">
        <v>8</v>
      </c>
      <c r="E99" t="s">
        <v>12</v>
      </c>
      <c r="F99">
        <v>3</v>
      </c>
      <c r="G99">
        <v>2</v>
      </c>
      <c r="H99">
        <v>8</v>
      </c>
      <c r="I99">
        <v>5</v>
      </c>
      <c r="J99">
        <f>42+54+54</f>
        <v>150</v>
      </c>
      <c r="K99">
        <f>34+52+62</f>
        <v>148</v>
      </c>
      <c r="L99" t="s">
        <v>13</v>
      </c>
    </row>
    <row r="100" spans="1:12" x14ac:dyDescent="0.25">
      <c r="A100" t="s">
        <v>22</v>
      </c>
      <c r="B100" s="12">
        <v>45637</v>
      </c>
      <c r="C100" t="s">
        <v>96</v>
      </c>
      <c r="D100" s="14">
        <v>12</v>
      </c>
      <c r="E100" t="s">
        <v>12</v>
      </c>
      <c r="F100">
        <v>3</v>
      </c>
      <c r="G100">
        <v>3</v>
      </c>
      <c r="H100">
        <v>6</v>
      </c>
      <c r="I100">
        <v>6</v>
      </c>
      <c r="J100">
        <f>42+42+42</f>
        <v>126</v>
      </c>
      <c r="K100">
        <f>34+32+32</f>
        <v>98</v>
      </c>
      <c r="L100" t="s">
        <v>13</v>
      </c>
    </row>
    <row r="101" spans="1:12" x14ac:dyDescent="0.25">
      <c r="A101" t="s">
        <v>22</v>
      </c>
      <c r="B101" s="12">
        <v>45638</v>
      </c>
      <c r="C101" t="s">
        <v>182</v>
      </c>
      <c r="D101" s="14">
        <v>0</v>
      </c>
      <c r="E101" t="s">
        <v>10</v>
      </c>
      <c r="F101">
        <v>3</v>
      </c>
      <c r="G101">
        <v>2</v>
      </c>
      <c r="H101">
        <v>6</v>
      </c>
      <c r="I101">
        <v>4</v>
      </c>
      <c r="J101">
        <f>31+42+42</f>
        <v>115</v>
      </c>
      <c r="K101">
        <f>42+30+36</f>
        <v>108</v>
      </c>
      <c r="L101" t="s">
        <v>18</v>
      </c>
    </row>
    <row r="102" spans="1:12" x14ac:dyDescent="0.25">
      <c r="A102" t="s">
        <v>22</v>
      </c>
      <c r="B102" s="12">
        <v>45638</v>
      </c>
      <c r="C102" t="s">
        <v>143</v>
      </c>
      <c r="D102" s="14">
        <v>0</v>
      </c>
      <c r="E102" t="s">
        <v>10</v>
      </c>
      <c r="F102">
        <v>3</v>
      </c>
      <c r="G102">
        <v>2</v>
      </c>
      <c r="H102">
        <v>6</v>
      </c>
      <c r="I102">
        <v>4</v>
      </c>
      <c r="J102">
        <f>31+42+42</f>
        <v>115</v>
      </c>
      <c r="K102">
        <f>42+31+27</f>
        <v>100</v>
      </c>
      <c r="L102" t="s">
        <v>18</v>
      </c>
    </row>
    <row r="103" spans="1:12" x14ac:dyDescent="0.25">
      <c r="A103" t="s">
        <v>22</v>
      </c>
      <c r="B103" s="12">
        <v>45638</v>
      </c>
      <c r="C103" t="s">
        <v>177</v>
      </c>
      <c r="D103" s="14">
        <v>4</v>
      </c>
      <c r="E103" t="s">
        <v>10</v>
      </c>
      <c r="F103">
        <v>3</v>
      </c>
      <c r="G103">
        <v>3</v>
      </c>
      <c r="H103">
        <v>6</v>
      </c>
      <c r="I103">
        <v>6</v>
      </c>
      <c r="J103">
        <f>42+42+42</f>
        <v>126</v>
      </c>
      <c r="K103">
        <f>22+30+27</f>
        <v>79</v>
      </c>
      <c r="L103" t="s">
        <v>18</v>
      </c>
    </row>
    <row r="104" spans="1:12" x14ac:dyDescent="0.25">
      <c r="A104" t="s">
        <v>22</v>
      </c>
      <c r="B104" s="12">
        <v>45638</v>
      </c>
      <c r="C104" t="s">
        <v>37</v>
      </c>
      <c r="D104" s="14">
        <v>4</v>
      </c>
      <c r="E104" t="s">
        <v>10</v>
      </c>
      <c r="F104">
        <v>3</v>
      </c>
      <c r="G104">
        <v>3</v>
      </c>
      <c r="H104">
        <v>6</v>
      </c>
      <c r="I104">
        <v>6</v>
      </c>
      <c r="J104">
        <f>42+42+42</f>
        <v>126</v>
      </c>
      <c r="K104">
        <f>22+31+36</f>
        <v>89</v>
      </c>
      <c r="L104" t="s">
        <v>18</v>
      </c>
    </row>
    <row r="105" spans="1:12" x14ac:dyDescent="0.25">
      <c r="A105" t="s">
        <v>22</v>
      </c>
      <c r="B105" s="12">
        <v>45638</v>
      </c>
      <c r="C105" t="s">
        <v>70</v>
      </c>
      <c r="D105" s="14">
        <v>-8</v>
      </c>
      <c r="E105" t="s">
        <v>18</v>
      </c>
      <c r="F105">
        <v>3</v>
      </c>
      <c r="G105">
        <v>1</v>
      </c>
      <c r="H105">
        <v>6</v>
      </c>
      <c r="I105">
        <v>2</v>
      </c>
      <c r="J105">
        <f>42+30+36</f>
        <v>108</v>
      </c>
      <c r="K105">
        <f>31+42+42</f>
        <v>115</v>
      </c>
      <c r="L105" t="s">
        <v>10</v>
      </c>
    </row>
    <row r="106" spans="1:12" x14ac:dyDescent="0.25">
      <c r="A106" t="s">
        <v>22</v>
      </c>
      <c r="B106" s="12">
        <v>45638</v>
      </c>
      <c r="C106" t="s">
        <v>101</v>
      </c>
      <c r="D106" s="14">
        <v>-8</v>
      </c>
      <c r="E106" t="s">
        <v>18</v>
      </c>
      <c r="F106">
        <v>3</v>
      </c>
      <c r="G106">
        <v>1</v>
      </c>
      <c r="H106">
        <v>6</v>
      </c>
      <c r="I106">
        <v>2</v>
      </c>
      <c r="J106">
        <f>42+31+27</f>
        <v>100</v>
      </c>
      <c r="K106">
        <f>31+42+42</f>
        <v>115</v>
      </c>
      <c r="L106" t="s">
        <v>10</v>
      </c>
    </row>
    <row r="107" spans="1:12" x14ac:dyDescent="0.25">
      <c r="A107" t="s">
        <v>22</v>
      </c>
      <c r="B107" s="12">
        <v>45638</v>
      </c>
      <c r="C107" t="s">
        <v>102</v>
      </c>
      <c r="D107" s="14">
        <v>2</v>
      </c>
      <c r="E107" t="s">
        <v>18</v>
      </c>
      <c r="F107">
        <v>3</v>
      </c>
      <c r="G107">
        <v>0</v>
      </c>
      <c r="H107">
        <v>6</v>
      </c>
      <c r="I107">
        <v>0</v>
      </c>
      <c r="J107">
        <f>22+30+27</f>
        <v>79</v>
      </c>
      <c r="K107">
        <f>42+42+42</f>
        <v>126</v>
      </c>
      <c r="L107" t="s">
        <v>10</v>
      </c>
    </row>
    <row r="108" spans="1:12" x14ac:dyDescent="0.25">
      <c r="A108" t="s">
        <v>22</v>
      </c>
      <c r="B108" s="12">
        <v>45638</v>
      </c>
      <c r="C108" t="s">
        <v>183</v>
      </c>
      <c r="D108" s="14">
        <v>0</v>
      </c>
      <c r="E108" t="s">
        <v>18</v>
      </c>
      <c r="F108">
        <v>3</v>
      </c>
      <c r="G108">
        <v>0</v>
      </c>
      <c r="H108">
        <v>6</v>
      </c>
      <c r="I108">
        <v>0</v>
      </c>
      <c r="J108">
        <f>22+31+36</f>
        <v>89</v>
      </c>
      <c r="K108">
        <f>42+42+42</f>
        <v>126</v>
      </c>
      <c r="L108" t="s">
        <v>10</v>
      </c>
    </row>
    <row r="109" spans="1:12" x14ac:dyDescent="0.25">
      <c r="A109" t="s">
        <v>22</v>
      </c>
      <c r="B109" s="12">
        <v>45639</v>
      </c>
      <c r="C109" t="s">
        <v>116</v>
      </c>
      <c r="D109" s="14">
        <v>-2</v>
      </c>
      <c r="E109" t="s">
        <v>15</v>
      </c>
      <c r="F109">
        <v>3</v>
      </c>
      <c r="G109">
        <v>1</v>
      </c>
      <c r="H109">
        <v>7</v>
      </c>
      <c r="I109">
        <v>2</v>
      </c>
      <c r="J109">
        <f>35+23+61</f>
        <v>119</v>
      </c>
      <c r="K109">
        <f>42+42+53</f>
        <v>137</v>
      </c>
      <c r="L109" t="s">
        <v>14</v>
      </c>
    </row>
    <row r="110" spans="1:12" x14ac:dyDescent="0.25">
      <c r="A110" t="s">
        <v>22</v>
      </c>
      <c r="B110" s="12">
        <v>45639</v>
      </c>
      <c r="C110" t="s">
        <v>100</v>
      </c>
      <c r="D110" s="14">
        <v>2</v>
      </c>
      <c r="E110" t="s">
        <v>15</v>
      </c>
      <c r="F110">
        <v>3</v>
      </c>
      <c r="G110">
        <v>1</v>
      </c>
      <c r="H110">
        <v>6</v>
      </c>
      <c r="I110">
        <v>2</v>
      </c>
      <c r="J110">
        <f>35+42+28</f>
        <v>105</v>
      </c>
      <c r="K110">
        <f>42+37+42</f>
        <v>121</v>
      </c>
      <c r="L110" t="s">
        <v>14</v>
      </c>
    </row>
    <row r="111" spans="1:12" x14ac:dyDescent="0.25">
      <c r="A111" t="s">
        <v>22</v>
      </c>
      <c r="B111" s="12">
        <v>45639</v>
      </c>
      <c r="C111" t="s">
        <v>98</v>
      </c>
      <c r="D111" s="14">
        <v>2</v>
      </c>
      <c r="E111" t="s">
        <v>15</v>
      </c>
      <c r="F111">
        <v>3</v>
      </c>
      <c r="G111">
        <v>0</v>
      </c>
      <c r="H111">
        <v>7</v>
      </c>
      <c r="I111">
        <v>1</v>
      </c>
      <c r="J111">
        <f>49+23+28</f>
        <v>100</v>
      </c>
      <c r="K111">
        <f>55+42+42</f>
        <v>139</v>
      </c>
      <c r="L111" t="s">
        <v>14</v>
      </c>
    </row>
    <row r="112" spans="1:12" x14ac:dyDescent="0.25">
      <c r="A112" t="s">
        <v>22</v>
      </c>
      <c r="B112" s="12">
        <v>45639</v>
      </c>
      <c r="C112" t="s">
        <v>99</v>
      </c>
      <c r="D112" s="14">
        <v>4</v>
      </c>
      <c r="E112" t="s">
        <v>15</v>
      </c>
      <c r="F112">
        <v>3</v>
      </c>
      <c r="G112">
        <v>2</v>
      </c>
      <c r="H112">
        <v>8</v>
      </c>
      <c r="I112">
        <v>5</v>
      </c>
      <c r="J112">
        <f>49+42+61</f>
        <v>152</v>
      </c>
      <c r="K112">
        <f>55+37+53</f>
        <v>145</v>
      </c>
      <c r="L112" t="s">
        <v>14</v>
      </c>
    </row>
    <row r="113" spans="1:12" x14ac:dyDescent="0.25">
      <c r="A113" t="s">
        <v>22</v>
      </c>
      <c r="B113" s="12">
        <v>45639</v>
      </c>
      <c r="C113" t="s">
        <v>47</v>
      </c>
      <c r="D113" s="14">
        <v>-6</v>
      </c>
      <c r="E113" t="s">
        <v>14</v>
      </c>
      <c r="F113">
        <v>3</v>
      </c>
      <c r="G113">
        <v>2</v>
      </c>
      <c r="H113">
        <v>7</v>
      </c>
      <c r="I113">
        <v>5</v>
      </c>
      <c r="J113">
        <f>42+42+53</f>
        <v>137</v>
      </c>
      <c r="K113">
        <f>35+23+61</f>
        <v>119</v>
      </c>
      <c r="L113" t="s">
        <v>15</v>
      </c>
    </row>
    <row r="114" spans="1:12" x14ac:dyDescent="0.25">
      <c r="A114" t="s">
        <v>22</v>
      </c>
      <c r="B114" s="12">
        <v>45639</v>
      </c>
      <c r="C114" t="s">
        <v>48</v>
      </c>
      <c r="D114" s="14">
        <v>-6</v>
      </c>
      <c r="E114" t="s">
        <v>14</v>
      </c>
      <c r="F114">
        <v>3</v>
      </c>
      <c r="G114">
        <v>2</v>
      </c>
      <c r="H114">
        <v>6</v>
      </c>
      <c r="I114">
        <v>4</v>
      </c>
      <c r="J114">
        <f>42+37+42</f>
        <v>121</v>
      </c>
      <c r="K114">
        <f>35+42+28</f>
        <v>105</v>
      </c>
      <c r="L114" t="s">
        <v>15</v>
      </c>
    </row>
    <row r="115" spans="1:12" x14ac:dyDescent="0.25">
      <c r="A115" t="s">
        <v>22</v>
      </c>
      <c r="B115" s="12">
        <v>45639</v>
      </c>
      <c r="C115" t="s">
        <v>51</v>
      </c>
      <c r="D115" s="14">
        <v>-6</v>
      </c>
      <c r="E115" t="s">
        <v>14</v>
      </c>
      <c r="F115">
        <v>3</v>
      </c>
      <c r="G115">
        <v>3</v>
      </c>
      <c r="H115">
        <v>7</v>
      </c>
      <c r="I115">
        <v>6</v>
      </c>
      <c r="J115">
        <f>55+42+42</f>
        <v>139</v>
      </c>
      <c r="K115">
        <f>49+23+28</f>
        <v>100</v>
      </c>
      <c r="L115" t="s">
        <v>15</v>
      </c>
    </row>
    <row r="116" spans="1:12" x14ac:dyDescent="0.25">
      <c r="A116" t="s">
        <v>22</v>
      </c>
      <c r="B116" s="12">
        <v>45639</v>
      </c>
      <c r="C116" t="s">
        <v>115</v>
      </c>
      <c r="D116" s="14">
        <v>4</v>
      </c>
      <c r="E116" t="s">
        <v>14</v>
      </c>
      <c r="F116">
        <v>3</v>
      </c>
      <c r="G116">
        <v>1</v>
      </c>
      <c r="H116">
        <v>8</v>
      </c>
      <c r="I116">
        <v>3</v>
      </c>
      <c r="J116">
        <f>55+37+53</f>
        <v>145</v>
      </c>
      <c r="K116">
        <f>49+42+61</f>
        <v>152</v>
      </c>
      <c r="L116" t="s">
        <v>15</v>
      </c>
    </row>
    <row r="117" spans="1:12" x14ac:dyDescent="0.25">
      <c r="A117" t="s">
        <v>22</v>
      </c>
      <c r="B117" s="12">
        <v>45660</v>
      </c>
      <c r="C117" t="s">
        <v>116</v>
      </c>
      <c r="D117" s="14">
        <v>-2</v>
      </c>
      <c r="E117" t="s">
        <v>15</v>
      </c>
      <c r="F117">
        <v>3</v>
      </c>
      <c r="G117">
        <v>2</v>
      </c>
      <c r="H117">
        <v>8</v>
      </c>
      <c r="I117">
        <v>4</v>
      </c>
      <c r="J117">
        <f>58+32+58</f>
        <v>148</v>
      </c>
      <c r="K117">
        <f>50+42+50</f>
        <v>142</v>
      </c>
      <c r="L117" t="s">
        <v>10</v>
      </c>
    </row>
    <row r="118" spans="1:12" x14ac:dyDescent="0.25">
      <c r="A118" t="s">
        <v>22</v>
      </c>
      <c r="B118" s="12">
        <v>45660</v>
      </c>
      <c r="C118" t="s">
        <v>98</v>
      </c>
      <c r="D118" s="14">
        <v>2</v>
      </c>
      <c r="E118" t="s">
        <v>15</v>
      </c>
      <c r="F118">
        <v>3</v>
      </c>
      <c r="G118">
        <v>2</v>
      </c>
      <c r="H118">
        <v>9</v>
      </c>
      <c r="I118">
        <v>5</v>
      </c>
      <c r="J118">
        <f>58+47+60</f>
        <v>165</v>
      </c>
      <c r="K118">
        <f>50+62+59</f>
        <v>171</v>
      </c>
      <c r="L118" t="s">
        <v>10</v>
      </c>
    </row>
    <row r="119" spans="1:12" x14ac:dyDescent="0.25">
      <c r="A119" t="s">
        <v>22</v>
      </c>
      <c r="B119" s="12">
        <v>45660</v>
      </c>
      <c r="C119" t="s">
        <v>100</v>
      </c>
      <c r="D119" s="14">
        <v>2</v>
      </c>
      <c r="E119" t="s">
        <v>15</v>
      </c>
      <c r="F119">
        <v>3</v>
      </c>
      <c r="G119">
        <v>1</v>
      </c>
      <c r="H119">
        <v>7</v>
      </c>
      <c r="I119">
        <v>2</v>
      </c>
      <c r="J119">
        <f>32+32+60</f>
        <v>124</v>
      </c>
      <c r="K119">
        <f>42+42+59</f>
        <v>143</v>
      </c>
      <c r="L119" t="s">
        <v>10</v>
      </c>
    </row>
    <row r="120" spans="1:12" x14ac:dyDescent="0.25">
      <c r="A120" t="s">
        <v>22</v>
      </c>
      <c r="B120" s="12">
        <v>45660</v>
      </c>
      <c r="C120" t="s">
        <v>99</v>
      </c>
      <c r="D120" s="14">
        <v>4</v>
      </c>
      <c r="E120" t="s">
        <v>15</v>
      </c>
      <c r="F120">
        <v>3</v>
      </c>
      <c r="G120">
        <v>1</v>
      </c>
      <c r="H120">
        <v>8</v>
      </c>
      <c r="I120">
        <v>3</v>
      </c>
      <c r="J120">
        <f>32+47+58</f>
        <v>137</v>
      </c>
      <c r="K120">
        <f>42+62+50</f>
        <v>154</v>
      </c>
      <c r="L120" t="s">
        <v>10</v>
      </c>
    </row>
    <row r="121" spans="1:12" x14ac:dyDescent="0.25">
      <c r="A121" t="s">
        <v>22</v>
      </c>
      <c r="B121" s="12">
        <v>45660</v>
      </c>
      <c r="C121" t="s">
        <v>143</v>
      </c>
      <c r="D121" s="14">
        <v>0</v>
      </c>
      <c r="E121" t="s">
        <v>10</v>
      </c>
      <c r="F121">
        <v>3</v>
      </c>
      <c r="G121">
        <v>1</v>
      </c>
      <c r="H121">
        <v>8</v>
      </c>
      <c r="I121">
        <v>4</v>
      </c>
      <c r="J121">
        <f>50+42+50</f>
        <v>142</v>
      </c>
      <c r="K121">
        <f>58+32+58</f>
        <v>148</v>
      </c>
      <c r="L121" t="s">
        <v>15</v>
      </c>
    </row>
    <row r="122" spans="1:12" x14ac:dyDescent="0.25">
      <c r="A122" t="s">
        <v>22</v>
      </c>
      <c r="B122" s="12">
        <v>45660</v>
      </c>
      <c r="C122" t="s">
        <v>58</v>
      </c>
      <c r="D122" s="14">
        <v>2</v>
      </c>
      <c r="E122" t="s">
        <v>10</v>
      </c>
      <c r="F122">
        <v>3</v>
      </c>
      <c r="G122">
        <v>1</v>
      </c>
      <c r="H122">
        <v>9</v>
      </c>
      <c r="I122">
        <v>4</v>
      </c>
      <c r="J122">
        <f>50+62+59</f>
        <v>171</v>
      </c>
      <c r="K122">
        <f>58+47+60</f>
        <v>165</v>
      </c>
      <c r="L122" t="s">
        <v>15</v>
      </c>
    </row>
    <row r="123" spans="1:12" x14ac:dyDescent="0.25">
      <c r="A123" t="s">
        <v>22</v>
      </c>
      <c r="B123" s="12">
        <v>45660</v>
      </c>
      <c r="C123" t="s">
        <v>37</v>
      </c>
      <c r="D123" s="14">
        <v>4</v>
      </c>
      <c r="E123" t="s">
        <v>10</v>
      </c>
      <c r="F123">
        <v>3</v>
      </c>
      <c r="G123">
        <v>2</v>
      </c>
      <c r="H123">
        <v>7</v>
      </c>
      <c r="I123">
        <v>5</v>
      </c>
      <c r="J123">
        <f>42+42+59</f>
        <v>143</v>
      </c>
      <c r="K123">
        <f>32+32+60</f>
        <v>124</v>
      </c>
      <c r="L123" t="s">
        <v>15</v>
      </c>
    </row>
    <row r="124" spans="1:12" x14ac:dyDescent="0.25">
      <c r="A124" t="s">
        <v>22</v>
      </c>
      <c r="B124" s="12">
        <v>45660</v>
      </c>
      <c r="C124" t="s">
        <v>117</v>
      </c>
      <c r="D124" s="14">
        <v>6</v>
      </c>
      <c r="E124" t="s">
        <v>10</v>
      </c>
      <c r="F124">
        <v>3</v>
      </c>
      <c r="G124">
        <v>2</v>
      </c>
      <c r="H124">
        <v>8</v>
      </c>
      <c r="I124">
        <v>5</v>
      </c>
      <c r="J124">
        <f>42+62+50</f>
        <v>154</v>
      </c>
      <c r="K124">
        <f>32+47+58</f>
        <v>137</v>
      </c>
      <c r="L124" t="s">
        <v>15</v>
      </c>
    </row>
    <row r="125" spans="1:12" x14ac:dyDescent="0.25">
      <c r="A125" t="s">
        <v>22</v>
      </c>
      <c r="B125" s="12">
        <v>45673</v>
      </c>
      <c r="C125" t="s">
        <v>176</v>
      </c>
      <c r="D125" s="14">
        <v>-4</v>
      </c>
      <c r="E125" t="s">
        <v>16</v>
      </c>
      <c r="F125">
        <v>3</v>
      </c>
      <c r="G125">
        <v>3</v>
      </c>
      <c r="H125">
        <v>8</v>
      </c>
      <c r="I125">
        <v>6</v>
      </c>
      <c r="J125">
        <f>59+42+58</f>
        <v>159</v>
      </c>
      <c r="K125">
        <f>59+37+58</f>
        <v>154</v>
      </c>
      <c r="L125" t="s">
        <v>13</v>
      </c>
    </row>
    <row r="126" spans="1:12" x14ac:dyDescent="0.25">
      <c r="A126" t="s">
        <v>22</v>
      </c>
      <c r="B126" s="12">
        <v>45673</v>
      </c>
      <c r="C126" t="s">
        <v>171</v>
      </c>
      <c r="D126" s="14">
        <v>-2</v>
      </c>
      <c r="E126" t="s">
        <v>16</v>
      </c>
      <c r="F126">
        <v>3</v>
      </c>
      <c r="G126">
        <v>3</v>
      </c>
      <c r="H126">
        <v>8</v>
      </c>
      <c r="I126">
        <v>6</v>
      </c>
      <c r="J126">
        <f>59+56+42</f>
        <v>157</v>
      </c>
      <c r="K126">
        <f>59+57+35</f>
        <v>151</v>
      </c>
      <c r="L126" t="s">
        <v>13</v>
      </c>
    </row>
    <row r="127" spans="1:12" x14ac:dyDescent="0.25">
      <c r="A127" t="s">
        <v>22</v>
      </c>
      <c r="B127" s="12">
        <v>45673</v>
      </c>
      <c r="C127" t="s">
        <v>170</v>
      </c>
      <c r="D127" s="14">
        <v>0</v>
      </c>
      <c r="E127" t="s">
        <v>16</v>
      </c>
      <c r="F127">
        <v>3</v>
      </c>
      <c r="G127">
        <v>3</v>
      </c>
      <c r="H127">
        <v>6</v>
      </c>
      <c r="I127">
        <v>6</v>
      </c>
      <c r="J127">
        <f>42+42+42</f>
        <v>126</v>
      </c>
      <c r="K127">
        <f>34+37+35</f>
        <v>106</v>
      </c>
      <c r="L127" t="s">
        <v>13</v>
      </c>
    </row>
    <row r="128" spans="1:12" x14ac:dyDescent="0.25">
      <c r="A128" t="s">
        <v>22</v>
      </c>
      <c r="B128" s="12">
        <v>45673</v>
      </c>
      <c r="C128" t="s">
        <v>173</v>
      </c>
      <c r="D128" s="14">
        <v>12</v>
      </c>
      <c r="E128" t="s">
        <v>16</v>
      </c>
      <c r="F128">
        <v>3</v>
      </c>
      <c r="G128">
        <v>3</v>
      </c>
      <c r="H128">
        <v>8</v>
      </c>
      <c r="I128">
        <v>6</v>
      </c>
      <c r="J128">
        <f>42+56+58</f>
        <v>156</v>
      </c>
      <c r="K128">
        <f>34+57+58</f>
        <v>149</v>
      </c>
      <c r="L128" t="s">
        <v>13</v>
      </c>
    </row>
    <row r="129" spans="1:12" x14ac:dyDescent="0.25">
      <c r="A129" t="s">
        <v>22</v>
      </c>
      <c r="B129" s="12">
        <v>45673</v>
      </c>
      <c r="C129" t="s">
        <v>42</v>
      </c>
      <c r="D129" s="14">
        <v>4</v>
      </c>
      <c r="E129" t="s">
        <v>13</v>
      </c>
      <c r="F129">
        <v>3</v>
      </c>
      <c r="G129">
        <v>0</v>
      </c>
      <c r="H129">
        <v>8</v>
      </c>
      <c r="I129">
        <v>2</v>
      </c>
      <c r="J129">
        <f>59+37+58</f>
        <v>154</v>
      </c>
      <c r="K129">
        <f>59+42+58</f>
        <v>159</v>
      </c>
      <c r="L129" t="s">
        <v>16</v>
      </c>
    </row>
    <row r="130" spans="1:12" x14ac:dyDescent="0.25">
      <c r="A130" t="s">
        <v>22</v>
      </c>
      <c r="B130" s="12">
        <v>45673</v>
      </c>
      <c r="C130" t="s">
        <v>107</v>
      </c>
      <c r="D130" s="14">
        <v>6</v>
      </c>
      <c r="E130" t="s">
        <v>13</v>
      </c>
      <c r="F130">
        <v>3</v>
      </c>
      <c r="G130">
        <v>0</v>
      </c>
      <c r="H130">
        <v>8</v>
      </c>
      <c r="I130">
        <v>2</v>
      </c>
      <c r="J130">
        <f>59+57+35</f>
        <v>151</v>
      </c>
      <c r="K130">
        <f>59+56+42</f>
        <v>157</v>
      </c>
      <c r="L130" t="s">
        <v>16</v>
      </c>
    </row>
    <row r="131" spans="1:12" x14ac:dyDescent="0.25">
      <c r="A131" t="s">
        <v>22</v>
      </c>
      <c r="B131" s="12">
        <v>45673</v>
      </c>
      <c r="C131" t="s">
        <v>108</v>
      </c>
      <c r="D131" s="14">
        <v>8</v>
      </c>
      <c r="E131" t="s">
        <v>13</v>
      </c>
      <c r="F131">
        <v>3</v>
      </c>
      <c r="G131">
        <v>0</v>
      </c>
      <c r="H131">
        <v>6</v>
      </c>
      <c r="I131">
        <v>0</v>
      </c>
      <c r="J131">
        <f>34+37+35</f>
        <v>106</v>
      </c>
      <c r="K131">
        <f>42+42+42</f>
        <v>126</v>
      </c>
      <c r="L131" t="s">
        <v>16</v>
      </c>
    </row>
    <row r="132" spans="1:12" x14ac:dyDescent="0.25">
      <c r="A132" t="s">
        <v>22</v>
      </c>
      <c r="B132" s="12">
        <v>45673</v>
      </c>
      <c r="C132" t="s">
        <v>184</v>
      </c>
      <c r="D132" s="14">
        <v>8</v>
      </c>
      <c r="E132" t="s">
        <v>13</v>
      </c>
      <c r="F132">
        <v>3</v>
      </c>
      <c r="G132">
        <v>0</v>
      </c>
      <c r="H132">
        <v>8</v>
      </c>
      <c r="I132">
        <v>2</v>
      </c>
      <c r="J132">
        <f>34+57+58</f>
        <v>149</v>
      </c>
      <c r="K132">
        <f>42+56+58</f>
        <v>156</v>
      </c>
      <c r="L132" t="s">
        <v>16</v>
      </c>
    </row>
    <row r="133" spans="1:12" x14ac:dyDescent="0.25">
      <c r="A133" t="s">
        <v>22</v>
      </c>
      <c r="B133" s="12">
        <v>45676</v>
      </c>
      <c r="C133" t="s">
        <v>145</v>
      </c>
      <c r="D133" s="14">
        <v>-2</v>
      </c>
      <c r="E133" t="s">
        <v>18</v>
      </c>
      <c r="F133">
        <v>3</v>
      </c>
      <c r="G133">
        <v>3</v>
      </c>
      <c r="H133">
        <v>7</v>
      </c>
      <c r="I133">
        <v>6</v>
      </c>
      <c r="J133">
        <f>42+56+42</f>
        <v>140</v>
      </c>
      <c r="K133">
        <f>40+50+33</f>
        <v>123</v>
      </c>
      <c r="L133" t="s">
        <v>12</v>
      </c>
    </row>
    <row r="134" spans="1:12" x14ac:dyDescent="0.25">
      <c r="A134" t="s">
        <v>22</v>
      </c>
      <c r="B134" s="12">
        <v>45676</v>
      </c>
      <c r="C134" t="s">
        <v>102</v>
      </c>
      <c r="D134" s="14">
        <v>2</v>
      </c>
      <c r="E134" t="s">
        <v>18</v>
      </c>
      <c r="F134">
        <v>3</v>
      </c>
      <c r="G134">
        <v>3</v>
      </c>
      <c r="H134">
        <v>6</v>
      </c>
      <c r="I134">
        <v>6</v>
      </c>
      <c r="J134">
        <f>42+42+42</f>
        <v>126</v>
      </c>
      <c r="K134">
        <f>40+35+32</f>
        <v>107</v>
      </c>
      <c r="L134" t="s">
        <v>12</v>
      </c>
    </row>
    <row r="135" spans="1:12" x14ac:dyDescent="0.25">
      <c r="A135" t="s">
        <v>22</v>
      </c>
      <c r="B135" s="12">
        <v>45676</v>
      </c>
      <c r="C135" t="s">
        <v>133</v>
      </c>
      <c r="D135" s="14">
        <v>4</v>
      </c>
      <c r="E135" t="s">
        <v>18</v>
      </c>
      <c r="F135">
        <v>3</v>
      </c>
      <c r="G135">
        <v>3</v>
      </c>
      <c r="H135">
        <v>7</v>
      </c>
      <c r="I135">
        <v>6</v>
      </c>
      <c r="J135">
        <f>42+56+42</f>
        <v>140</v>
      </c>
      <c r="K135">
        <f>32+50+32</f>
        <v>114</v>
      </c>
      <c r="L135" t="s">
        <v>12</v>
      </c>
    </row>
    <row r="136" spans="1:12" x14ac:dyDescent="0.25">
      <c r="A136" t="s">
        <v>22</v>
      </c>
      <c r="B136" s="12">
        <v>45676</v>
      </c>
      <c r="C136" t="s">
        <v>69</v>
      </c>
      <c r="D136" s="14">
        <v>4</v>
      </c>
      <c r="E136" t="s">
        <v>18</v>
      </c>
      <c r="F136">
        <v>3</v>
      </c>
      <c r="G136">
        <v>3</v>
      </c>
      <c r="H136">
        <v>6</v>
      </c>
      <c r="I136">
        <v>6</v>
      </c>
      <c r="J136">
        <f>42+42+42</f>
        <v>126</v>
      </c>
      <c r="K136">
        <f>32+35+33</f>
        <v>100</v>
      </c>
      <c r="L136" t="s">
        <v>12</v>
      </c>
    </row>
    <row r="137" spans="1:12" x14ac:dyDescent="0.25">
      <c r="A137" t="s">
        <v>22</v>
      </c>
      <c r="B137" s="12">
        <v>45676</v>
      </c>
      <c r="C137" t="s">
        <v>112</v>
      </c>
      <c r="D137" s="14">
        <v>6</v>
      </c>
      <c r="E137" t="s">
        <v>12</v>
      </c>
      <c r="F137">
        <v>3</v>
      </c>
      <c r="G137">
        <v>0</v>
      </c>
      <c r="H137">
        <v>7</v>
      </c>
      <c r="I137">
        <v>1</v>
      </c>
      <c r="J137">
        <f>40+50+33</f>
        <v>123</v>
      </c>
      <c r="K137">
        <f>42+56+42</f>
        <v>140</v>
      </c>
      <c r="L137" t="s">
        <v>18</v>
      </c>
    </row>
    <row r="138" spans="1:12" x14ac:dyDescent="0.25">
      <c r="A138" t="s">
        <v>22</v>
      </c>
      <c r="B138" s="12">
        <v>45676</v>
      </c>
      <c r="C138" t="s">
        <v>121</v>
      </c>
      <c r="D138" s="14">
        <v>8</v>
      </c>
      <c r="E138" t="s">
        <v>12</v>
      </c>
      <c r="F138">
        <v>3</v>
      </c>
      <c r="G138">
        <v>0</v>
      </c>
      <c r="H138">
        <v>6</v>
      </c>
      <c r="I138">
        <v>0</v>
      </c>
      <c r="J138">
        <f>40+35+32</f>
        <v>107</v>
      </c>
      <c r="K138">
        <f>42+42+42</f>
        <v>126</v>
      </c>
      <c r="L138" t="s">
        <v>18</v>
      </c>
    </row>
    <row r="139" spans="1:12" x14ac:dyDescent="0.25">
      <c r="A139" t="s">
        <v>22</v>
      </c>
      <c r="B139" s="12">
        <v>45676</v>
      </c>
      <c r="C139" t="s">
        <v>95</v>
      </c>
      <c r="D139" s="14">
        <v>4</v>
      </c>
      <c r="E139" t="s">
        <v>12</v>
      </c>
      <c r="F139">
        <v>3</v>
      </c>
      <c r="G139">
        <v>0</v>
      </c>
      <c r="H139">
        <v>7</v>
      </c>
      <c r="I139">
        <v>1</v>
      </c>
      <c r="J139">
        <f>32+50+32</f>
        <v>114</v>
      </c>
      <c r="K139">
        <f>42+56+42</f>
        <v>140</v>
      </c>
      <c r="L139" t="s">
        <v>18</v>
      </c>
    </row>
    <row r="140" spans="1:12" x14ac:dyDescent="0.25">
      <c r="A140" t="s">
        <v>22</v>
      </c>
      <c r="B140" s="12">
        <v>45676</v>
      </c>
      <c r="C140" t="s">
        <v>96</v>
      </c>
      <c r="D140" s="14">
        <v>12</v>
      </c>
      <c r="E140" t="s">
        <v>12</v>
      </c>
      <c r="F140">
        <v>3</v>
      </c>
      <c r="G140">
        <v>0</v>
      </c>
      <c r="H140">
        <v>6</v>
      </c>
      <c r="I140">
        <v>0</v>
      </c>
      <c r="J140">
        <f>32+35+33</f>
        <v>100</v>
      </c>
      <c r="K140">
        <f>42+42+42</f>
        <v>126</v>
      </c>
      <c r="L140" t="s">
        <v>18</v>
      </c>
    </row>
    <row r="141" spans="1:12" x14ac:dyDescent="0.25">
      <c r="A141" t="s">
        <v>22</v>
      </c>
      <c r="B141" s="12">
        <v>45681</v>
      </c>
      <c r="C141" t="s">
        <v>51</v>
      </c>
      <c r="D141" s="14">
        <v>-6</v>
      </c>
      <c r="E141" t="s">
        <v>14</v>
      </c>
      <c r="F141">
        <v>3</v>
      </c>
      <c r="G141">
        <v>2</v>
      </c>
      <c r="H141">
        <v>8</v>
      </c>
      <c r="I141">
        <v>5</v>
      </c>
      <c r="J141">
        <f>57+41+42</f>
        <v>140</v>
      </c>
      <c r="K141">
        <f>50+56+34</f>
        <v>140</v>
      </c>
      <c r="L141" t="s">
        <v>14</v>
      </c>
    </row>
    <row r="142" spans="1:12" x14ac:dyDescent="0.25">
      <c r="A142" t="s">
        <v>22</v>
      </c>
      <c r="B142" s="12">
        <v>45681</v>
      </c>
      <c r="C142" t="s">
        <v>48</v>
      </c>
      <c r="D142" s="14">
        <v>-6</v>
      </c>
      <c r="E142" t="s">
        <v>14</v>
      </c>
      <c r="F142">
        <v>3</v>
      </c>
      <c r="G142">
        <v>2</v>
      </c>
      <c r="H142">
        <v>8</v>
      </c>
      <c r="I142">
        <v>5</v>
      </c>
      <c r="J142">
        <f>57+45+42</f>
        <v>144</v>
      </c>
      <c r="K142">
        <f>50+62+28</f>
        <v>140</v>
      </c>
      <c r="L142" t="s">
        <v>14</v>
      </c>
    </row>
    <row r="143" spans="1:12" x14ac:dyDescent="0.25">
      <c r="A143" t="s">
        <v>22</v>
      </c>
      <c r="B143" s="12">
        <v>45681</v>
      </c>
      <c r="C143" t="s">
        <v>114</v>
      </c>
      <c r="D143" s="14">
        <v>-2</v>
      </c>
      <c r="E143" t="s">
        <v>14</v>
      </c>
      <c r="F143">
        <v>3</v>
      </c>
      <c r="G143">
        <v>1</v>
      </c>
      <c r="H143">
        <v>8</v>
      </c>
      <c r="I143">
        <v>4</v>
      </c>
      <c r="J143">
        <f>42+41+42</f>
        <v>125</v>
      </c>
      <c r="K143">
        <f>61+56+28</f>
        <v>145</v>
      </c>
      <c r="L143" t="s">
        <v>14</v>
      </c>
    </row>
    <row r="144" spans="1:12" x14ac:dyDescent="0.25">
      <c r="A144" t="s">
        <v>22</v>
      </c>
      <c r="B144" s="12">
        <v>45681</v>
      </c>
      <c r="C144" t="s">
        <v>115</v>
      </c>
      <c r="D144" s="14">
        <v>4</v>
      </c>
      <c r="E144" t="s">
        <v>14</v>
      </c>
      <c r="F144">
        <v>3</v>
      </c>
      <c r="G144">
        <v>1</v>
      </c>
      <c r="H144">
        <v>8</v>
      </c>
      <c r="I144">
        <v>4</v>
      </c>
      <c r="J144">
        <f>42+45+42</f>
        <v>129</v>
      </c>
      <c r="K144">
        <f>61+62+34</f>
        <v>157</v>
      </c>
      <c r="L144" t="s">
        <v>14</v>
      </c>
    </row>
    <row r="145" spans="1:12" x14ac:dyDescent="0.25">
      <c r="A145" t="s">
        <v>22</v>
      </c>
      <c r="B145" s="12">
        <v>45681</v>
      </c>
      <c r="C145" t="s">
        <v>57</v>
      </c>
      <c r="D145" s="14">
        <v>-2</v>
      </c>
      <c r="E145" t="s">
        <v>10</v>
      </c>
      <c r="F145">
        <v>3</v>
      </c>
      <c r="G145">
        <v>1</v>
      </c>
      <c r="H145">
        <v>8</v>
      </c>
      <c r="I145">
        <v>3</v>
      </c>
      <c r="J145">
        <f>50+56+34</f>
        <v>140</v>
      </c>
      <c r="K145">
        <f>57+41+42</f>
        <v>140</v>
      </c>
      <c r="L145" t="s">
        <v>10</v>
      </c>
    </row>
    <row r="146" spans="1:12" x14ac:dyDescent="0.25">
      <c r="A146" t="s">
        <v>22</v>
      </c>
      <c r="B146" s="12">
        <v>45681</v>
      </c>
      <c r="C146" t="s">
        <v>182</v>
      </c>
      <c r="D146" s="14">
        <v>0</v>
      </c>
      <c r="E146" t="s">
        <v>10</v>
      </c>
      <c r="F146">
        <v>3</v>
      </c>
      <c r="G146">
        <v>1</v>
      </c>
      <c r="H146">
        <v>8</v>
      </c>
      <c r="I146">
        <v>3</v>
      </c>
      <c r="J146">
        <f>50+62+28</f>
        <v>140</v>
      </c>
      <c r="K146">
        <f>57+45+42</f>
        <v>144</v>
      </c>
      <c r="L146" t="s">
        <v>10</v>
      </c>
    </row>
    <row r="147" spans="1:12" x14ac:dyDescent="0.25">
      <c r="A147" t="s">
        <v>22</v>
      </c>
      <c r="B147" s="12">
        <v>45681</v>
      </c>
      <c r="C147" t="s">
        <v>58</v>
      </c>
      <c r="D147" s="14">
        <v>2</v>
      </c>
      <c r="E147" t="s">
        <v>10</v>
      </c>
      <c r="F147">
        <v>3</v>
      </c>
      <c r="G147">
        <v>2</v>
      </c>
      <c r="H147">
        <v>8</v>
      </c>
      <c r="I147">
        <v>4</v>
      </c>
      <c r="J147">
        <f>61+56+28</f>
        <v>145</v>
      </c>
      <c r="K147">
        <f>42+41+42</f>
        <v>125</v>
      </c>
      <c r="L147" t="s">
        <v>10</v>
      </c>
    </row>
    <row r="148" spans="1:12" x14ac:dyDescent="0.25">
      <c r="A148" t="s">
        <v>22</v>
      </c>
      <c r="B148" s="12">
        <v>45681</v>
      </c>
      <c r="C148" t="s">
        <v>37</v>
      </c>
      <c r="D148" s="14">
        <v>4</v>
      </c>
      <c r="E148" t="s">
        <v>10</v>
      </c>
      <c r="F148">
        <v>3</v>
      </c>
      <c r="G148">
        <v>2</v>
      </c>
      <c r="H148">
        <v>8</v>
      </c>
      <c r="I148">
        <v>4</v>
      </c>
      <c r="J148">
        <f>61+62+34</f>
        <v>157</v>
      </c>
      <c r="K148">
        <f>42+45+42</f>
        <v>129</v>
      </c>
      <c r="L148" t="s">
        <v>10</v>
      </c>
    </row>
    <row r="149" spans="1:12" x14ac:dyDescent="0.25">
      <c r="A149" t="s">
        <v>22</v>
      </c>
      <c r="B149" s="12">
        <v>45688</v>
      </c>
      <c r="C149" t="s">
        <v>47</v>
      </c>
      <c r="D149" s="14">
        <v>-8</v>
      </c>
      <c r="E149" t="s">
        <v>14</v>
      </c>
      <c r="F149">
        <v>3</v>
      </c>
      <c r="G149">
        <v>1</v>
      </c>
      <c r="H149">
        <v>9</v>
      </c>
      <c r="I149">
        <v>4</v>
      </c>
      <c r="J149">
        <f>52+60+48</f>
        <v>160</v>
      </c>
      <c r="K149">
        <f>62+58+57</f>
        <v>177</v>
      </c>
      <c r="L149" t="s">
        <v>18</v>
      </c>
    </row>
    <row r="150" spans="1:12" x14ac:dyDescent="0.25">
      <c r="A150" t="s">
        <v>22</v>
      </c>
      <c r="B150" s="12">
        <v>45688</v>
      </c>
      <c r="C150" t="s">
        <v>51</v>
      </c>
      <c r="D150" s="14">
        <v>-8</v>
      </c>
      <c r="E150" t="s">
        <v>14</v>
      </c>
      <c r="F150">
        <v>3</v>
      </c>
      <c r="G150">
        <v>1</v>
      </c>
      <c r="H150">
        <v>7</v>
      </c>
      <c r="I150">
        <v>3</v>
      </c>
      <c r="J150">
        <f>52+28+42</f>
        <v>122</v>
      </c>
      <c r="K150">
        <f>62+42+23</f>
        <v>127</v>
      </c>
      <c r="L150" t="s">
        <v>18</v>
      </c>
    </row>
    <row r="151" spans="1:12" x14ac:dyDescent="0.25">
      <c r="A151" t="s">
        <v>22</v>
      </c>
      <c r="B151" s="12">
        <v>45688</v>
      </c>
      <c r="C151" t="s">
        <v>48</v>
      </c>
      <c r="D151" s="14">
        <v>-8</v>
      </c>
      <c r="E151" t="s">
        <v>14</v>
      </c>
      <c r="F151">
        <v>3</v>
      </c>
      <c r="G151">
        <v>3</v>
      </c>
      <c r="H151">
        <v>7</v>
      </c>
      <c r="I151">
        <v>6</v>
      </c>
      <c r="J151">
        <f>42+60+42</f>
        <v>144</v>
      </c>
      <c r="K151">
        <f>36+58+23</f>
        <v>117</v>
      </c>
      <c r="L151" t="s">
        <v>18</v>
      </c>
    </row>
    <row r="152" spans="1:12" x14ac:dyDescent="0.25">
      <c r="A152" t="s">
        <v>22</v>
      </c>
      <c r="B152" s="12">
        <v>45688</v>
      </c>
      <c r="C152" t="s">
        <v>114</v>
      </c>
      <c r="D152" s="14">
        <v>-2</v>
      </c>
      <c r="E152" t="s">
        <v>14</v>
      </c>
      <c r="F152">
        <v>3</v>
      </c>
      <c r="G152">
        <v>1</v>
      </c>
      <c r="H152">
        <v>7</v>
      </c>
      <c r="I152">
        <v>3</v>
      </c>
      <c r="J152">
        <f>42+28+48</f>
        <v>118</v>
      </c>
      <c r="K152">
        <f>36+42+57</f>
        <v>135</v>
      </c>
      <c r="L152" t="s">
        <v>18</v>
      </c>
    </row>
    <row r="153" spans="1:12" x14ac:dyDescent="0.25">
      <c r="A153" t="s">
        <v>22</v>
      </c>
      <c r="B153" s="12">
        <v>45688</v>
      </c>
      <c r="C153" t="s">
        <v>101</v>
      </c>
      <c r="D153" s="14">
        <v>-8</v>
      </c>
      <c r="E153" t="s">
        <v>18</v>
      </c>
      <c r="F153">
        <v>3</v>
      </c>
      <c r="G153">
        <v>2</v>
      </c>
      <c r="H153">
        <v>9</v>
      </c>
      <c r="I153">
        <v>5</v>
      </c>
      <c r="J153">
        <f>62+58+57</f>
        <v>177</v>
      </c>
      <c r="K153">
        <f>52+60+48</f>
        <v>160</v>
      </c>
      <c r="L153" t="s">
        <v>14</v>
      </c>
    </row>
    <row r="154" spans="1:12" x14ac:dyDescent="0.25">
      <c r="A154" t="s">
        <v>22</v>
      </c>
      <c r="B154" s="12">
        <v>45688</v>
      </c>
      <c r="C154" t="s">
        <v>145</v>
      </c>
      <c r="D154" s="14">
        <v>-2</v>
      </c>
      <c r="E154" t="s">
        <v>18</v>
      </c>
      <c r="F154">
        <v>3</v>
      </c>
      <c r="G154">
        <v>2</v>
      </c>
      <c r="H154">
        <v>7</v>
      </c>
      <c r="I154">
        <v>4</v>
      </c>
      <c r="J154">
        <f>62+42+23</f>
        <v>127</v>
      </c>
      <c r="K154">
        <f>52+28+42</f>
        <v>122</v>
      </c>
      <c r="L154" t="s">
        <v>14</v>
      </c>
    </row>
    <row r="155" spans="1:12" x14ac:dyDescent="0.25">
      <c r="A155" t="s">
        <v>22</v>
      </c>
      <c r="B155" s="12">
        <v>45688</v>
      </c>
      <c r="C155" t="s">
        <v>102</v>
      </c>
      <c r="D155" s="14">
        <v>2</v>
      </c>
      <c r="E155" t="s">
        <v>18</v>
      </c>
      <c r="F155">
        <v>3</v>
      </c>
      <c r="G155">
        <v>0</v>
      </c>
      <c r="H155">
        <v>7</v>
      </c>
      <c r="I155">
        <v>1</v>
      </c>
      <c r="J155">
        <f>36+58+23</f>
        <v>117</v>
      </c>
      <c r="K155">
        <f>42+60+42</f>
        <v>144</v>
      </c>
      <c r="L155" t="s">
        <v>14</v>
      </c>
    </row>
    <row r="156" spans="1:12" x14ac:dyDescent="0.25">
      <c r="A156" t="s">
        <v>22</v>
      </c>
      <c r="B156" s="12">
        <v>45688</v>
      </c>
      <c r="C156" t="s">
        <v>103</v>
      </c>
      <c r="D156" s="14">
        <v>4</v>
      </c>
      <c r="E156" t="s">
        <v>18</v>
      </c>
      <c r="F156">
        <v>3</v>
      </c>
      <c r="G156">
        <v>2</v>
      </c>
      <c r="H156">
        <v>7</v>
      </c>
      <c r="I156">
        <v>4</v>
      </c>
      <c r="J156">
        <f>36+42+57</f>
        <v>135</v>
      </c>
      <c r="K156">
        <f>42+28+48</f>
        <v>118</v>
      </c>
      <c r="L156" t="s">
        <v>14</v>
      </c>
    </row>
    <row r="157" spans="1:12" x14ac:dyDescent="0.25">
      <c r="A157" t="s">
        <v>22</v>
      </c>
      <c r="B157" s="12">
        <v>45693</v>
      </c>
      <c r="C157" t="s">
        <v>42</v>
      </c>
      <c r="D157" s="14">
        <v>4</v>
      </c>
      <c r="E157" t="s">
        <v>13</v>
      </c>
      <c r="F157">
        <v>3</v>
      </c>
      <c r="G157">
        <v>2</v>
      </c>
      <c r="H157">
        <v>7</v>
      </c>
      <c r="I157">
        <v>4</v>
      </c>
      <c r="J157">
        <f>30+42+59</f>
        <v>131</v>
      </c>
      <c r="K157">
        <f>42+24+55</f>
        <v>121</v>
      </c>
      <c r="L157" t="s">
        <v>18</v>
      </c>
    </row>
    <row r="158" spans="1:12" x14ac:dyDescent="0.25">
      <c r="A158" t="s">
        <v>22</v>
      </c>
      <c r="B158" s="12">
        <v>45693</v>
      </c>
      <c r="C158" t="s">
        <v>184</v>
      </c>
      <c r="D158" s="14">
        <v>8</v>
      </c>
      <c r="E158" t="s">
        <v>13</v>
      </c>
      <c r="F158">
        <v>3</v>
      </c>
      <c r="G158">
        <v>0</v>
      </c>
      <c r="H158">
        <v>7</v>
      </c>
      <c r="I158">
        <v>1</v>
      </c>
      <c r="J158">
        <f>30+35+56</f>
        <v>121</v>
      </c>
      <c r="K158">
        <f>42+42+59</f>
        <v>143</v>
      </c>
      <c r="L158" t="s">
        <v>18</v>
      </c>
    </row>
    <row r="159" spans="1:12" x14ac:dyDescent="0.25">
      <c r="A159" t="s">
        <v>22</v>
      </c>
      <c r="B159" s="12">
        <v>45693</v>
      </c>
      <c r="C159" t="s">
        <v>167</v>
      </c>
      <c r="D159" s="14">
        <v>10</v>
      </c>
      <c r="E159" t="s">
        <v>13</v>
      </c>
      <c r="F159">
        <v>3</v>
      </c>
      <c r="G159">
        <v>1</v>
      </c>
      <c r="H159">
        <v>7</v>
      </c>
      <c r="I159">
        <v>3</v>
      </c>
      <c r="J159">
        <f>30+42+56</f>
        <v>128</v>
      </c>
      <c r="K159">
        <f>42+24+59</f>
        <v>125</v>
      </c>
      <c r="L159" t="s">
        <v>18</v>
      </c>
    </row>
    <row r="160" spans="1:12" x14ac:dyDescent="0.25">
      <c r="A160" t="s">
        <v>22</v>
      </c>
      <c r="B160" s="12">
        <v>45693</v>
      </c>
      <c r="C160" t="s">
        <v>185</v>
      </c>
      <c r="D160" s="14">
        <v>10</v>
      </c>
      <c r="E160" t="s">
        <v>13</v>
      </c>
      <c r="F160">
        <v>3</v>
      </c>
      <c r="G160">
        <v>1</v>
      </c>
      <c r="H160">
        <v>7</v>
      </c>
      <c r="I160">
        <v>2</v>
      </c>
      <c r="J160">
        <f>30+35+59</f>
        <v>124</v>
      </c>
      <c r="K160">
        <f>42+42+55</f>
        <v>139</v>
      </c>
      <c r="L160" t="s">
        <v>18</v>
      </c>
    </row>
    <row r="161" spans="1:12" x14ac:dyDescent="0.25">
      <c r="A161" t="s">
        <v>22</v>
      </c>
      <c r="B161" s="12">
        <v>45693</v>
      </c>
      <c r="C161" t="s">
        <v>101</v>
      </c>
      <c r="D161" s="14">
        <v>-8</v>
      </c>
      <c r="E161" t="s">
        <v>18</v>
      </c>
      <c r="F161">
        <v>3</v>
      </c>
      <c r="G161">
        <v>1</v>
      </c>
      <c r="H161">
        <v>7</v>
      </c>
      <c r="I161">
        <v>3</v>
      </c>
      <c r="J161">
        <f>42+24+55</f>
        <v>121</v>
      </c>
      <c r="K161">
        <f>30+42+59</f>
        <v>131</v>
      </c>
      <c r="L161" t="s">
        <v>13</v>
      </c>
    </row>
    <row r="162" spans="1:12" x14ac:dyDescent="0.25">
      <c r="A162" t="s">
        <v>22</v>
      </c>
      <c r="B162" s="12">
        <v>45693</v>
      </c>
      <c r="C162" t="s">
        <v>145</v>
      </c>
      <c r="D162" s="14">
        <v>-2</v>
      </c>
      <c r="E162" t="s">
        <v>18</v>
      </c>
      <c r="F162">
        <v>3</v>
      </c>
      <c r="G162">
        <v>3</v>
      </c>
      <c r="H162">
        <v>7</v>
      </c>
      <c r="I162">
        <v>6</v>
      </c>
      <c r="J162">
        <f>42+42+59</f>
        <v>143</v>
      </c>
      <c r="K162">
        <f>30+35+56</f>
        <v>121</v>
      </c>
      <c r="L162" t="s">
        <v>13</v>
      </c>
    </row>
    <row r="163" spans="1:12" x14ac:dyDescent="0.25">
      <c r="A163" t="s">
        <v>22</v>
      </c>
      <c r="B163" s="12">
        <v>45693</v>
      </c>
      <c r="C163" t="s">
        <v>133</v>
      </c>
      <c r="D163" s="14">
        <v>4</v>
      </c>
      <c r="E163" t="s">
        <v>18</v>
      </c>
      <c r="F163">
        <v>3</v>
      </c>
      <c r="G163">
        <v>2</v>
      </c>
      <c r="H163">
        <v>7</v>
      </c>
      <c r="I163">
        <v>4</v>
      </c>
      <c r="J163">
        <f>42+24+59</f>
        <v>125</v>
      </c>
      <c r="K163">
        <f>30+42+56</f>
        <v>128</v>
      </c>
      <c r="L163" t="s">
        <v>13</v>
      </c>
    </row>
    <row r="164" spans="1:12" x14ac:dyDescent="0.25">
      <c r="A164" t="s">
        <v>22</v>
      </c>
      <c r="B164" s="12">
        <v>45693</v>
      </c>
      <c r="C164" t="s">
        <v>103</v>
      </c>
      <c r="D164" s="14">
        <v>4</v>
      </c>
      <c r="E164" t="s">
        <v>18</v>
      </c>
      <c r="F164">
        <v>3</v>
      </c>
      <c r="G164">
        <v>2</v>
      </c>
      <c r="H164">
        <v>7</v>
      </c>
      <c r="I164">
        <v>5</v>
      </c>
      <c r="J164">
        <f>42+42+55</f>
        <v>139</v>
      </c>
      <c r="K164">
        <f>30+35+59</f>
        <v>124</v>
      </c>
      <c r="L164" t="s">
        <v>13</v>
      </c>
    </row>
    <row r="165" spans="1:12" x14ac:dyDescent="0.25">
      <c r="A165" t="s">
        <v>22</v>
      </c>
      <c r="B165" s="12">
        <v>45700</v>
      </c>
      <c r="C165" t="s">
        <v>42</v>
      </c>
      <c r="D165" s="14">
        <v>4</v>
      </c>
      <c r="E165" t="s">
        <v>13</v>
      </c>
      <c r="F165">
        <v>3</v>
      </c>
      <c r="G165">
        <v>1</v>
      </c>
      <c r="H165">
        <v>7</v>
      </c>
      <c r="I165">
        <v>2</v>
      </c>
      <c r="J165">
        <f>33+35+62</f>
        <v>130</v>
      </c>
      <c r="K165">
        <f>42+42+43</f>
        <v>127</v>
      </c>
      <c r="L165" t="s">
        <v>15</v>
      </c>
    </row>
    <row r="166" spans="1:12" x14ac:dyDescent="0.25">
      <c r="A166" t="s">
        <v>22</v>
      </c>
      <c r="B166" s="12">
        <v>45700</v>
      </c>
      <c r="C166" t="s">
        <v>41</v>
      </c>
      <c r="D166" s="14">
        <v>6</v>
      </c>
      <c r="E166" t="s">
        <v>13</v>
      </c>
      <c r="F166">
        <v>3</v>
      </c>
      <c r="G166">
        <v>0</v>
      </c>
      <c r="H166">
        <v>7</v>
      </c>
      <c r="I166">
        <v>1</v>
      </c>
      <c r="J166">
        <f>33+38+44</f>
        <v>115</v>
      </c>
      <c r="K166">
        <f>42+42+60</f>
        <v>144</v>
      </c>
      <c r="L166" t="s">
        <v>15</v>
      </c>
    </row>
    <row r="167" spans="1:12" x14ac:dyDescent="0.25">
      <c r="A167" t="s">
        <v>22</v>
      </c>
      <c r="B167" s="12">
        <v>45700</v>
      </c>
      <c r="C167" t="s">
        <v>107</v>
      </c>
      <c r="D167" s="14">
        <v>6</v>
      </c>
      <c r="E167" t="s">
        <v>13</v>
      </c>
      <c r="F167">
        <v>3</v>
      </c>
      <c r="G167">
        <v>1</v>
      </c>
      <c r="H167">
        <v>7</v>
      </c>
      <c r="I167">
        <v>3</v>
      </c>
      <c r="J167">
        <f>42+35+44</f>
        <v>121</v>
      </c>
      <c r="K167">
        <f>35+42+60</f>
        <v>137</v>
      </c>
      <c r="L167" t="s">
        <v>15</v>
      </c>
    </row>
    <row r="168" spans="1:12" x14ac:dyDescent="0.25">
      <c r="A168" t="s">
        <v>22</v>
      </c>
      <c r="B168" s="12">
        <v>45700</v>
      </c>
      <c r="C168" t="s">
        <v>167</v>
      </c>
      <c r="D168" s="14">
        <v>10</v>
      </c>
      <c r="E168" t="s">
        <v>13</v>
      </c>
      <c r="F168">
        <v>3</v>
      </c>
      <c r="G168">
        <v>2</v>
      </c>
      <c r="H168">
        <v>7</v>
      </c>
      <c r="I168">
        <v>4</v>
      </c>
      <c r="J168">
        <f>42+38+62</f>
        <v>142</v>
      </c>
      <c r="K168">
        <f>35+42+43</f>
        <v>120</v>
      </c>
      <c r="L168" t="s">
        <v>15</v>
      </c>
    </row>
    <row r="169" spans="1:12" x14ac:dyDescent="0.25">
      <c r="A169" t="s">
        <v>22</v>
      </c>
      <c r="B169" s="12">
        <v>45700</v>
      </c>
      <c r="C169" t="s">
        <v>186</v>
      </c>
      <c r="D169" s="14">
        <v>-6</v>
      </c>
      <c r="E169" t="s">
        <v>15</v>
      </c>
      <c r="F169">
        <v>3</v>
      </c>
      <c r="G169">
        <v>2</v>
      </c>
      <c r="H169">
        <v>7</v>
      </c>
      <c r="I169">
        <v>5</v>
      </c>
      <c r="J169">
        <f>42+42+43</f>
        <v>127</v>
      </c>
      <c r="K169">
        <f>33+35+62</f>
        <v>130</v>
      </c>
      <c r="L169" t="s">
        <v>13</v>
      </c>
    </row>
    <row r="170" spans="1:12" x14ac:dyDescent="0.25">
      <c r="A170" t="s">
        <v>22</v>
      </c>
      <c r="B170" s="12">
        <v>45700</v>
      </c>
      <c r="C170" t="s">
        <v>97</v>
      </c>
      <c r="D170" s="14">
        <v>-4</v>
      </c>
      <c r="E170" t="s">
        <v>15</v>
      </c>
      <c r="F170">
        <v>3</v>
      </c>
      <c r="G170">
        <v>3</v>
      </c>
      <c r="H170">
        <v>7</v>
      </c>
      <c r="I170">
        <v>6</v>
      </c>
      <c r="J170">
        <f>42+42+60</f>
        <v>144</v>
      </c>
      <c r="K170">
        <f>33+38+44</f>
        <v>115</v>
      </c>
      <c r="L170" t="s">
        <v>13</v>
      </c>
    </row>
    <row r="171" spans="1:12" x14ac:dyDescent="0.25">
      <c r="A171" t="s">
        <v>22</v>
      </c>
      <c r="B171" s="12">
        <v>45700</v>
      </c>
      <c r="C171" t="s">
        <v>116</v>
      </c>
      <c r="D171" s="14">
        <v>-2</v>
      </c>
      <c r="E171" t="s">
        <v>15</v>
      </c>
      <c r="F171">
        <v>3</v>
      </c>
      <c r="G171">
        <v>2</v>
      </c>
      <c r="H171">
        <v>7</v>
      </c>
      <c r="I171">
        <v>4</v>
      </c>
      <c r="J171">
        <f>35+42+60</f>
        <v>137</v>
      </c>
      <c r="K171">
        <f>42+35+44</f>
        <v>121</v>
      </c>
      <c r="L171" t="s">
        <v>13</v>
      </c>
    </row>
    <row r="172" spans="1:12" x14ac:dyDescent="0.25">
      <c r="A172" t="s">
        <v>22</v>
      </c>
      <c r="B172" s="12">
        <v>45700</v>
      </c>
      <c r="C172" t="s">
        <v>99</v>
      </c>
      <c r="D172" s="14">
        <v>4</v>
      </c>
      <c r="E172" t="s">
        <v>15</v>
      </c>
      <c r="F172">
        <v>3</v>
      </c>
      <c r="G172">
        <v>1</v>
      </c>
      <c r="H172">
        <v>7</v>
      </c>
      <c r="I172">
        <v>3</v>
      </c>
      <c r="J172">
        <f>35+42+43</f>
        <v>120</v>
      </c>
      <c r="K172">
        <f>42+38+62</f>
        <v>142</v>
      </c>
      <c r="L172" t="s">
        <v>13</v>
      </c>
    </row>
    <row r="173" spans="1:12" x14ac:dyDescent="0.25">
      <c r="A173" t="s">
        <v>22</v>
      </c>
      <c r="B173" s="12">
        <v>45708</v>
      </c>
      <c r="C173" t="s">
        <v>143</v>
      </c>
      <c r="D173" s="14">
        <v>0</v>
      </c>
      <c r="E173" t="s">
        <v>10</v>
      </c>
      <c r="F173">
        <v>3</v>
      </c>
      <c r="G173">
        <v>0</v>
      </c>
      <c r="H173">
        <v>8</v>
      </c>
      <c r="I173">
        <v>2</v>
      </c>
      <c r="J173">
        <f>55+48+36</f>
        <v>139</v>
      </c>
      <c r="K173">
        <f>56+58+42</f>
        <v>156</v>
      </c>
      <c r="L173" t="s">
        <v>12</v>
      </c>
    </row>
    <row r="174" spans="1:12" x14ac:dyDescent="0.25">
      <c r="A174" t="s">
        <v>22</v>
      </c>
      <c r="B174" s="12">
        <v>45708</v>
      </c>
      <c r="C174" t="s">
        <v>37</v>
      </c>
      <c r="D174" s="14">
        <v>2</v>
      </c>
      <c r="E174" t="s">
        <v>10</v>
      </c>
      <c r="F174">
        <v>3</v>
      </c>
      <c r="G174">
        <v>2</v>
      </c>
      <c r="H174">
        <v>7</v>
      </c>
      <c r="I174">
        <v>5</v>
      </c>
      <c r="J174">
        <f>55+42+42</f>
        <v>139</v>
      </c>
      <c r="K174">
        <f>56+38+35</f>
        <v>129</v>
      </c>
      <c r="L174" t="s">
        <v>12</v>
      </c>
    </row>
    <row r="175" spans="1:12" x14ac:dyDescent="0.25">
      <c r="A175" t="s">
        <v>22</v>
      </c>
      <c r="B175" s="12">
        <v>45708</v>
      </c>
      <c r="C175" t="s">
        <v>38</v>
      </c>
      <c r="D175" s="14">
        <v>6</v>
      </c>
      <c r="E175" t="s">
        <v>10</v>
      </c>
      <c r="F175">
        <v>3</v>
      </c>
      <c r="G175">
        <v>2</v>
      </c>
      <c r="H175">
        <v>7</v>
      </c>
      <c r="I175">
        <v>5</v>
      </c>
      <c r="J175">
        <f>42+48+42</f>
        <v>132</v>
      </c>
      <c r="K175">
        <f>27+58+35</f>
        <v>120</v>
      </c>
      <c r="L175" t="s">
        <v>12</v>
      </c>
    </row>
    <row r="176" spans="1:12" x14ac:dyDescent="0.25">
      <c r="A176" t="s">
        <v>22</v>
      </c>
      <c r="B176" s="12">
        <v>45708</v>
      </c>
      <c r="C176" t="s">
        <v>187</v>
      </c>
      <c r="D176" s="14">
        <v>12</v>
      </c>
      <c r="E176" t="s">
        <v>10</v>
      </c>
      <c r="F176">
        <v>3</v>
      </c>
      <c r="G176">
        <v>2</v>
      </c>
      <c r="H176">
        <v>6</v>
      </c>
      <c r="I176">
        <v>4</v>
      </c>
      <c r="J176">
        <f>42+42+36</f>
        <v>120</v>
      </c>
      <c r="K176">
        <f>27+38+42</f>
        <v>107</v>
      </c>
      <c r="L176" t="s">
        <v>12</v>
      </c>
    </row>
    <row r="177" spans="1:12" x14ac:dyDescent="0.25">
      <c r="A177" t="s">
        <v>22</v>
      </c>
      <c r="B177" s="12">
        <v>45708</v>
      </c>
      <c r="C177" t="s">
        <v>112</v>
      </c>
      <c r="D177" s="14">
        <v>6</v>
      </c>
      <c r="E177" t="s">
        <v>12</v>
      </c>
      <c r="F177">
        <v>3</v>
      </c>
      <c r="G177">
        <v>3</v>
      </c>
      <c r="H177">
        <v>8</v>
      </c>
      <c r="I177">
        <v>6</v>
      </c>
      <c r="J177">
        <f>56+58+42</f>
        <v>156</v>
      </c>
      <c r="K177">
        <f>55+48+36</f>
        <v>139</v>
      </c>
      <c r="L177" t="s">
        <v>10</v>
      </c>
    </row>
    <row r="178" spans="1:12" x14ac:dyDescent="0.25">
      <c r="A178" t="s">
        <v>22</v>
      </c>
      <c r="B178" s="12">
        <v>45708</v>
      </c>
      <c r="C178" t="s">
        <v>121</v>
      </c>
      <c r="D178" s="14">
        <v>10</v>
      </c>
      <c r="E178" t="s">
        <v>12</v>
      </c>
      <c r="F178">
        <v>3</v>
      </c>
      <c r="G178">
        <v>1</v>
      </c>
      <c r="H178">
        <v>7</v>
      </c>
      <c r="I178">
        <v>2</v>
      </c>
      <c r="J178">
        <f>56+38+35</f>
        <v>129</v>
      </c>
      <c r="K178">
        <f>55+42+42</f>
        <v>139</v>
      </c>
      <c r="L178" t="s">
        <v>10</v>
      </c>
    </row>
    <row r="179" spans="1:12" x14ac:dyDescent="0.25">
      <c r="A179" t="s">
        <v>22</v>
      </c>
      <c r="B179" s="12">
        <v>45708</v>
      </c>
      <c r="C179" t="s">
        <v>96</v>
      </c>
      <c r="D179" s="14">
        <v>12</v>
      </c>
      <c r="E179" t="s">
        <v>12</v>
      </c>
      <c r="F179">
        <v>3</v>
      </c>
      <c r="G179">
        <v>1</v>
      </c>
      <c r="H179">
        <v>7</v>
      </c>
      <c r="I179">
        <v>2</v>
      </c>
      <c r="J179">
        <f>27+58+35</f>
        <v>120</v>
      </c>
      <c r="K179">
        <f>42+48+42</f>
        <v>132</v>
      </c>
      <c r="L179" t="s">
        <v>10</v>
      </c>
    </row>
    <row r="180" spans="1:12" x14ac:dyDescent="0.25">
      <c r="A180" t="s">
        <v>22</v>
      </c>
      <c r="B180" s="12">
        <v>45708</v>
      </c>
      <c r="C180" t="s">
        <v>113</v>
      </c>
      <c r="D180" s="14">
        <v>8</v>
      </c>
      <c r="E180" t="s">
        <v>12</v>
      </c>
      <c r="F180">
        <v>3</v>
      </c>
      <c r="G180">
        <v>1</v>
      </c>
      <c r="H180">
        <v>6</v>
      </c>
      <c r="I180">
        <v>2</v>
      </c>
      <c r="J180">
        <f>27+38+42</f>
        <v>107</v>
      </c>
      <c r="K180">
        <f>42+42+36</f>
        <v>120</v>
      </c>
      <c r="L180" t="s">
        <v>10</v>
      </c>
    </row>
    <row r="181" spans="1:12" x14ac:dyDescent="0.25">
      <c r="A181" t="s">
        <v>22</v>
      </c>
      <c r="B181" s="12">
        <v>45708</v>
      </c>
      <c r="C181" t="s">
        <v>176</v>
      </c>
      <c r="D181" s="14">
        <v>-4</v>
      </c>
      <c r="E181" t="s">
        <v>16</v>
      </c>
      <c r="F181">
        <v>3</v>
      </c>
      <c r="G181">
        <v>0</v>
      </c>
      <c r="H181">
        <v>7</v>
      </c>
      <c r="I181">
        <v>1</v>
      </c>
      <c r="J181">
        <f>54+25+39</f>
        <v>118</v>
      </c>
      <c r="K181">
        <f>56+42+42</f>
        <v>140</v>
      </c>
      <c r="L181" t="s">
        <v>15</v>
      </c>
    </row>
    <row r="182" spans="1:12" x14ac:dyDescent="0.25">
      <c r="A182" t="s">
        <v>22</v>
      </c>
      <c r="B182" s="12">
        <v>45708</v>
      </c>
      <c r="C182" t="s">
        <v>171</v>
      </c>
      <c r="D182" s="14">
        <v>-2</v>
      </c>
      <c r="E182" t="s">
        <v>16</v>
      </c>
      <c r="F182">
        <v>3</v>
      </c>
      <c r="G182">
        <v>1</v>
      </c>
      <c r="H182">
        <v>8</v>
      </c>
      <c r="I182">
        <v>4</v>
      </c>
      <c r="J182">
        <f>54+54+42</f>
        <v>150</v>
      </c>
      <c r="K182">
        <f>56+56+36</f>
        <v>148</v>
      </c>
      <c r="L182" t="s">
        <v>15</v>
      </c>
    </row>
    <row r="183" spans="1:12" x14ac:dyDescent="0.25">
      <c r="A183" t="s">
        <v>22</v>
      </c>
      <c r="B183" s="12">
        <v>45708</v>
      </c>
      <c r="C183" t="s">
        <v>170</v>
      </c>
      <c r="D183" s="14">
        <v>0</v>
      </c>
      <c r="E183" t="s">
        <v>16</v>
      </c>
      <c r="F183">
        <v>3</v>
      </c>
      <c r="G183">
        <v>2</v>
      </c>
      <c r="H183">
        <v>7</v>
      </c>
      <c r="I183">
        <v>4</v>
      </c>
      <c r="J183">
        <f>62+25+42</f>
        <v>129</v>
      </c>
      <c r="K183">
        <f>46+42+36</f>
        <v>124</v>
      </c>
      <c r="L183" t="s">
        <v>15</v>
      </c>
    </row>
    <row r="184" spans="1:12" x14ac:dyDescent="0.25">
      <c r="A184" t="s">
        <v>22</v>
      </c>
      <c r="B184" s="12">
        <v>45708</v>
      </c>
      <c r="C184" t="s">
        <v>172</v>
      </c>
      <c r="D184" s="14">
        <v>4</v>
      </c>
      <c r="E184" t="s">
        <v>16</v>
      </c>
      <c r="F184">
        <v>3</v>
      </c>
      <c r="G184">
        <v>1</v>
      </c>
      <c r="H184">
        <v>8</v>
      </c>
      <c r="I184">
        <v>3</v>
      </c>
      <c r="J184">
        <f>62+54+39</f>
        <v>155</v>
      </c>
      <c r="K184">
        <f>46+56+42</f>
        <v>144</v>
      </c>
      <c r="L184" t="s">
        <v>15</v>
      </c>
    </row>
    <row r="185" spans="1:12" x14ac:dyDescent="0.25">
      <c r="A185" t="s">
        <v>22</v>
      </c>
      <c r="B185" s="12">
        <v>45708</v>
      </c>
      <c r="C185" t="s">
        <v>116</v>
      </c>
      <c r="D185" s="14">
        <v>-2</v>
      </c>
      <c r="E185" t="s">
        <v>15</v>
      </c>
      <c r="F185">
        <v>3</v>
      </c>
      <c r="G185">
        <v>3</v>
      </c>
      <c r="H185">
        <v>7</v>
      </c>
      <c r="I185">
        <v>6</v>
      </c>
      <c r="J185">
        <f>56+42+42</f>
        <v>140</v>
      </c>
      <c r="K185">
        <f>54+25+39</f>
        <v>118</v>
      </c>
      <c r="L185" t="s">
        <v>16</v>
      </c>
    </row>
    <row r="186" spans="1:12" x14ac:dyDescent="0.25">
      <c r="A186" t="s">
        <v>22</v>
      </c>
      <c r="B186" s="12">
        <v>45708</v>
      </c>
      <c r="C186" t="s">
        <v>100</v>
      </c>
      <c r="D186" s="14">
        <v>2</v>
      </c>
      <c r="E186" t="s">
        <v>15</v>
      </c>
      <c r="F186">
        <v>3</v>
      </c>
      <c r="G186">
        <v>2</v>
      </c>
      <c r="H186">
        <v>8</v>
      </c>
      <c r="I186">
        <v>4</v>
      </c>
      <c r="J186">
        <f>56+56+36</f>
        <v>148</v>
      </c>
      <c r="K186">
        <f>54+54+42</f>
        <v>150</v>
      </c>
      <c r="L186" t="s">
        <v>16</v>
      </c>
    </row>
    <row r="187" spans="1:12" x14ac:dyDescent="0.25">
      <c r="A187" t="s">
        <v>22</v>
      </c>
      <c r="B187" s="12">
        <v>45708</v>
      </c>
      <c r="C187" t="s">
        <v>98</v>
      </c>
      <c r="D187" s="14">
        <v>2</v>
      </c>
      <c r="E187" t="s">
        <v>15</v>
      </c>
      <c r="F187">
        <v>3</v>
      </c>
      <c r="G187">
        <v>1</v>
      </c>
      <c r="H187">
        <v>7</v>
      </c>
      <c r="I187">
        <v>3</v>
      </c>
      <c r="J187">
        <f>46+42+36</f>
        <v>124</v>
      </c>
      <c r="K187">
        <f>62+25+42</f>
        <v>129</v>
      </c>
      <c r="L187" t="s">
        <v>16</v>
      </c>
    </row>
    <row r="188" spans="1:12" x14ac:dyDescent="0.25">
      <c r="A188" t="s">
        <v>22</v>
      </c>
      <c r="B188" s="12">
        <v>45708</v>
      </c>
      <c r="C188" t="s">
        <v>99</v>
      </c>
      <c r="D188" s="14">
        <v>4</v>
      </c>
      <c r="E188" t="s">
        <v>15</v>
      </c>
      <c r="F188">
        <v>3</v>
      </c>
      <c r="G188">
        <v>2</v>
      </c>
      <c r="H188">
        <v>8</v>
      </c>
      <c r="I188">
        <v>5</v>
      </c>
      <c r="J188">
        <f>46+56+42</f>
        <v>144</v>
      </c>
      <c r="K188">
        <f>62+54+39</f>
        <v>155</v>
      </c>
      <c r="L188" t="s">
        <v>16</v>
      </c>
    </row>
    <row r="189" spans="1:12" x14ac:dyDescent="0.25">
      <c r="A189" t="s">
        <v>22</v>
      </c>
      <c r="B189" s="12">
        <v>45718</v>
      </c>
      <c r="C189" t="s">
        <v>101</v>
      </c>
      <c r="D189" s="14">
        <v>-8</v>
      </c>
      <c r="E189" t="s">
        <v>18</v>
      </c>
      <c r="F189">
        <v>3</v>
      </c>
      <c r="G189">
        <v>2</v>
      </c>
      <c r="H189">
        <v>7</v>
      </c>
      <c r="I189">
        <v>4</v>
      </c>
      <c r="J189">
        <f>30+51+42</f>
        <v>123</v>
      </c>
      <c r="K189">
        <f>42+57+30</f>
        <v>129</v>
      </c>
      <c r="L189" t="s">
        <v>15</v>
      </c>
    </row>
    <row r="190" spans="1:12" x14ac:dyDescent="0.25">
      <c r="A190" t="s">
        <v>22</v>
      </c>
      <c r="B190" s="12">
        <v>45718</v>
      </c>
      <c r="C190" t="s">
        <v>183</v>
      </c>
      <c r="D190" s="14">
        <v>2</v>
      </c>
      <c r="E190" t="s">
        <v>18</v>
      </c>
      <c r="F190">
        <v>3</v>
      </c>
      <c r="G190">
        <v>1</v>
      </c>
      <c r="H190">
        <v>6</v>
      </c>
      <c r="I190">
        <v>2</v>
      </c>
      <c r="J190">
        <f>30+42+29</f>
        <v>101</v>
      </c>
      <c r="K190">
        <f>42+34+42</f>
        <v>118</v>
      </c>
      <c r="L190" t="s">
        <v>15</v>
      </c>
    </row>
    <row r="191" spans="1:12" x14ac:dyDescent="0.25">
      <c r="A191" t="s">
        <v>22</v>
      </c>
      <c r="B191" s="12">
        <v>45718</v>
      </c>
      <c r="C191" t="s">
        <v>102</v>
      </c>
      <c r="D191" s="14">
        <v>2</v>
      </c>
      <c r="E191" t="s">
        <v>18</v>
      </c>
      <c r="F191">
        <v>3</v>
      </c>
      <c r="G191">
        <v>2</v>
      </c>
      <c r="H191">
        <v>7</v>
      </c>
      <c r="I191">
        <v>4</v>
      </c>
      <c r="J191">
        <f>42+51+29</f>
        <v>122</v>
      </c>
      <c r="K191">
        <f>39+57+42</f>
        <v>138</v>
      </c>
      <c r="L191" t="s">
        <v>15</v>
      </c>
    </row>
    <row r="192" spans="1:12" x14ac:dyDescent="0.25">
      <c r="A192" t="s">
        <v>22</v>
      </c>
      <c r="B192" s="12">
        <v>45718</v>
      </c>
      <c r="C192" t="s">
        <v>103</v>
      </c>
      <c r="D192" s="14">
        <v>4</v>
      </c>
      <c r="E192" t="s">
        <v>18</v>
      </c>
      <c r="F192">
        <v>3</v>
      </c>
      <c r="G192">
        <v>3</v>
      </c>
      <c r="H192">
        <v>6</v>
      </c>
      <c r="I192">
        <v>6</v>
      </c>
      <c r="J192">
        <f>42+42+42</f>
        <v>126</v>
      </c>
      <c r="K192">
        <f>39+34+30</f>
        <v>103</v>
      </c>
      <c r="L192" t="s">
        <v>15</v>
      </c>
    </row>
    <row r="193" spans="1:12" x14ac:dyDescent="0.25">
      <c r="A193" t="s">
        <v>22</v>
      </c>
      <c r="B193" s="12">
        <v>45718</v>
      </c>
      <c r="C193" t="s">
        <v>116</v>
      </c>
      <c r="D193" s="14">
        <v>-2</v>
      </c>
      <c r="E193" t="s">
        <v>15</v>
      </c>
      <c r="F193">
        <v>3</v>
      </c>
      <c r="G193">
        <v>1</v>
      </c>
      <c r="H193">
        <v>7</v>
      </c>
      <c r="I193">
        <v>3</v>
      </c>
      <c r="J193">
        <f>42+57+30</f>
        <v>129</v>
      </c>
      <c r="K193">
        <f>30+51+42</f>
        <v>123</v>
      </c>
      <c r="L193" t="s">
        <v>18</v>
      </c>
    </row>
    <row r="194" spans="1:12" x14ac:dyDescent="0.25">
      <c r="A194" t="s">
        <v>22</v>
      </c>
      <c r="B194" s="12">
        <v>45718</v>
      </c>
      <c r="C194" t="s">
        <v>100</v>
      </c>
      <c r="D194" s="14">
        <v>2</v>
      </c>
      <c r="E194" t="s">
        <v>15</v>
      </c>
      <c r="F194">
        <v>3</v>
      </c>
      <c r="G194">
        <v>2</v>
      </c>
      <c r="H194">
        <v>6</v>
      </c>
      <c r="I194">
        <v>4</v>
      </c>
      <c r="J194">
        <f>42+34+42</f>
        <v>118</v>
      </c>
      <c r="K194">
        <f>30+42+29</f>
        <v>101</v>
      </c>
      <c r="L194" t="s">
        <v>18</v>
      </c>
    </row>
    <row r="195" spans="1:12" x14ac:dyDescent="0.25">
      <c r="A195" t="s">
        <v>22</v>
      </c>
      <c r="B195" s="12">
        <v>45718</v>
      </c>
      <c r="C195" t="s">
        <v>98</v>
      </c>
      <c r="D195" s="14">
        <v>2</v>
      </c>
      <c r="E195" t="s">
        <v>15</v>
      </c>
      <c r="F195">
        <v>3</v>
      </c>
      <c r="G195">
        <v>1</v>
      </c>
      <c r="H195">
        <v>7</v>
      </c>
      <c r="I195">
        <v>3</v>
      </c>
      <c r="J195">
        <f>39+57+42</f>
        <v>138</v>
      </c>
      <c r="K195">
        <f>42+51+29</f>
        <v>122</v>
      </c>
      <c r="L195" t="s">
        <v>18</v>
      </c>
    </row>
    <row r="196" spans="1:12" x14ac:dyDescent="0.25">
      <c r="A196" t="s">
        <v>22</v>
      </c>
      <c r="B196" s="12">
        <v>45718</v>
      </c>
      <c r="C196" t="s">
        <v>99</v>
      </c>
      <c r="D196" s="14">
        <v>4</v>
      </c>
      <c r="E196" t="s">
        <v>15</v>
      </c>
      <c r="F196">
        <v>3</v>
      </c>
      <c r="G196">
        <v>0</v>
      </c>
      <c r="H196">
        <v>6</v>
      </c>
      <c r="I196">
        <v>0</v>
      </c>
      <c r="J196">
        <f>39+34+30</f>
        <v>103</v>
      </c>
      <c r="K196">
        <f>42+42+42</f>
        <v>126</v>
      </c>
      <c r="L196" t="s">
        <v>18</v>
      </c>
    </row>
    <row r="197" spans="1:12" x14ac:dyDescent="0.25">
      <c r="A197" t="s">
        <v>22</v>
      </c>
      <c r="B197" s="12">
        <v>45722</v>
      </c>
      <c r="C197" t="s">
        <v>182</v>
      </c>
      <c r="D197" s="14">
        <v>0</v>
      </c>
      <c r="E197" t="s">
        <v>10</v>
      </c>
      <c r="F197">
        <v>3</v>
      </c>
      <c r="G197">
        <v>1</v>
      </c>
      <c r="H197">
        <v>9</v>
      </c>
      <c r="I197">
        <v>4</v>
      </c>
      <c r="J197">
        <f>59+41+50</f>
        <v>150</v>
      </c>
      <c r="K197">
        <f>54+61+59</f>
        <v>174</v>
      </c>
      <c r="L197" t="s">
        <v>15</v>
      </c>
    </row>
    <row r="198" spans="1:12" x14ac:dyDescent="0.25">
      <c r="A198" t="s">
        <v>22</v>
      </c>
      <c r="B198" s="12">
        <v>45722</v>
      </c>
      <c r="C198" t="s">
        <v>58</v>
      </c>
      <c r="D198" s="14">
        <v>2</v>
      </c>
      <c r="E198" t="s">
        <v>10</v>
      </c>
      <c r="F198">
        <v>3</v>
      </c>
      <c r="G198">
        <v>2</v>
      </c>
      <c r="H198">
        <v>7</v>
      </c>
      <c r="I198">
        <v>4</v>
      </c>
      <c r="J198">
        <f>59+37+42</f>
        <v>138</v>
      </c>
      <c r="K198">
        <f>54+42+27</f>
        <v>123</v>
      </c>
      <c r="L198" t="s">
        <v>15</v>
      </c>
    </row>
    <row r="199" spans="1:12" x14ac:dyDescent="0.25">
      <c r="A199" t="s">
        <v>22</v>
      </c>
      <c r="B199" s="12">
        <v>45722</v>
      </c>
      <c r="C199" t="s">
        <v>37</v>
      </c>
      <c r="D199" s="14">
        <v>2</v>
      </c>
      <c r="E199" t="s">
        <v>10</v>
      </c>
      <c r="F199">
        <v>3</v>
      </c>
      <c r="G199">
        <v>1</v>
      </c>
      <c r="H199">
        <v>8</v>
      </c>
      <c r="I199">
        <v>4</v>
      </c>
      <c r="J199">
        <f>47+41+42</f>
        <v>130</v>
      </c>
      <c r="K199">
        <f>61+61+27</f>
        <v>149</v>
      </c>
      <c r="L199" t="s">
        <v>15</v>
      </c>
    </row>
    <row r="200" spans="1:12" x14ac:dyDescent="0.25">
      <c r="A200" t="s">
        <v>22</v>
      </c>
      <c r="B200" s="12">
        <v>45722</v>
      </c>
      <c r="C200" t="s">
        <v>117</v>
      </c>
      <c r="D200" s="14">
        <v>6</v>
      </c>
      <c r="E200" t="s">
        <v>10</v>
      </c>
      <c r="F200">
        <v>3</v>
      </c>
      <c r="G200">
        <v>0</v>
      </c>
      <c r="H200">
        <v>8</v>
      </c>
      <c r="I200">
        <v>2</v>
      </c>
      <c r="J200">
        <f>47+37+50</f>
        <v>134</v>
      </c>
      <c r="K200">
        <f>61+42+59</f>
        <v>162</v>
      </c>
      <c r="L200" t="s">
        <v>15</v>
      </c>
    </row>
    <row r="201" spans="1:12" x14ac:dyDescent="0.25">
      <c r="A201" t="s">
        <v>22</v>
      </c>
      <c r="B201" s="12">
        <v>45722</v>
      </c>
      <c r="C201" t="s">
        <v>97</v>
      </c>
      <c r="D201" s="14">
        <v>-4</v>
      </c>
      <c r="E201" t="s">
        <v>15</v>
      </c>
      <c r="F201">
        <v>3</v>
      </c>
      <c r="G201">
        <v>2</v>
      </c>
      <c r="H201">
        <v>9</v>
      </c>
      <c r="I201">
        <v>5</v>
      </c>
      <c r="J201">
        <f>54+61+59</f>
        <v>174</v>
      </c>
      <c r="K201">
        <f>59+41+50</f>
        <v>150</v>
      </c>
      <c r="L201" t="s">
        <v>10</v>
      </c>
    </row>
    <row r="202" spans="1:12" x14ac:dyDescent="0.25">
      <c r="A202" t="s">
        <v>22</v>
      </c>
      <c r="B202" s="12">
        <v>45722</v>
      </c>
      <c r="C202" t="s">
        <v>116</v>
      </c>
      <c r="D202" s="14">
        <v>-2</v>
      </c>
      <c r="E202" t="s">
        <v>15</v>
      </c>
      <c r="F202">
        <v>3</v>
      </c>
      <c r="G202">
        <v>1</v>
      </c>
      <c r="H202">
        <v>7</v>
      </c>
      <c r="I202">
        <v>3</v>
      </c>
      <c r="J202">
        <f>54+42+27</f>
        <v>123</v>
      </c>
      <c r="K202">
        <f>59+37+42</f>
        <v>138</v>
      </c>
      <c r="L202" t="s">
        <v>10</v>
      </c>
    </row>
    <row r="203" spans="1:12" x14ac:dyDescent="0.25">
      <c r="A203" t="s">
        <v>22</v>
      </c>
      <c r="B203" s="12">
        <v>45722</v>
      </c>
      <c r="C203" t="s">
        <v>98</v>
      </c>
      <c r="D203" s="14">
        <v>2</v>
      </c>
      <c r="E203" t="s">
        <v>15</v>
      </c>
      <c r="F203">
        <v>3</v>
      </c>
      <c r="G203">
        <v>2</v>
      </c>
      <c r="H203">
        <v>8</v>
      </c>
      <c r="I203">
        <v>4</v>
      </c>
      <c r="J203">
        <f>61+61+27</f>
        <v>149</v>
      </c>
      <c r="K203">
        <f>47+41+42</f>
        <v>130</v>
      </c>
      <c r="L203" t="s">
        <v>10</v>
      </c>
    </row>
    <row r="204" spans="1:12" x14ac:dyDescent="0.25">
      <c r="A204" t="s">
        <v>22</v>
      </c>
      <c r="B204" s="12">
        <v>45722</v>
      </c>
      <c r="C204" t="s">
        <v>100</v>
      </c>
      <c r="D204" s="14">
        <v>2</v>
      </c>
      <c r="E204" t="s">
        <v>15</v>
      </c>
      <c r="F204">
        <v>3</v>
      </c>
      <c r="G204">
        <v>3</v>
      </c>
      <c r="H204">
        <v>8</v>
      </c>
      <c r="I204">
        <v>6</v>
      </c>
      <c r="J204">
        <f>61+42+59</f>
        <v>162</v>
      </c>
      <c r="K204">
        <f>47+37+50</f>
        <v>134</v>
      </c>
      <c r="L204" t="s">
        <v>10</v>
      </c>
    </row>
    <row r="205" spans="1:12" x14ac:dyDescent="0.25">
      <c r="A205" t="s">
        <v>22</v>
      </c>
      <c r="B205" s="12">
        <v>45722</v>
      </c>
      <c r="C205" t="s">
        <v>176</v>
      </c>
      <c r="D205" s="14">
        <v>-4</v>
      </c>
      <c r="E205" t="s">
        <v>16</v>
      </c>
      <c r="F205">
        <v>3</v>
      </c>
      <c r="G205">
        <v>0</v>
      </c>
      <c r="H205">
        <v>8</v>
      </c>
      <c r="I205">
        <v>2</v>
      </c>
      <c r="J205">
        <f>51+52+32</f>
        <v>135</v>
      </c>
      <c r="K205">
        <f>62+54+42</f>
        <v>158</v>
      </c>
      <c r="L205" t="s">
        <v>14</v>
      </c>
    </row>
    <row r="206" spans="1:12" x14ac:dyDescent="0.25">
      <c r="A206" t="s">
        <v>22</v>
      </c>
      <c r="B206" s="12">
        <v>45722</v>
      </c>
      <c r="C206" t="s">
        <v>171</v>
      </c>
      <c r="D206" s="14">
        <v>-2</v>
      </c>
      <c r="E206" t="s">
        <v>16</v>
      </c>
      <c r="F206">
        <v>3</v>
      </c>
      <c r="G206">
        <v>0</v>
      </c>
      <c r="H206">
        <v>8</v>
      </c>
      <c r="I206">
        <v>2</v>
      </c>
      <c r="J206">
        <f>51+33+50</f>
        <v>134</v>
      </c>
      <c r="K206">
        <f>62+42+58</f>
        <v>162</v>
      </c>
      <c r="L206" t="s">
        <v>14</v>
      </c>
    </row>
    <row r="207" spans="1:12" x14ac:dyDescent="0.25">
      <c r="A207" t="s">
        <v>22</v>
      </c>
      <c r="B207" s="12">
        <v>45722</v>
      </c>
      <c r="C207" t="s">
        <v>172</v>
      </c>
      <c r="D207" s="14">
        <v>4</v>
      </c>
      <c r="E207" t="s">
        <v>16</v>
      </c>
      <c r="F207">
        <v>3</v>
      </c>
      <c r="G207">
        <v>0</v>
      </c>
      <c r="H207">
        <v>9</v>
      </c>
      <c r="I207">
        <v>3</v>
      </c>
      <c r="J207">
        <f>57+52+50</f>
        <v>159</v>
      </c>
      <c r="K207">
        <f>57+54+58</f>
        <v>169</v>
      </c>
      <c r="L207" t="s">
        <v>14</v>
      </c>
    </row>
    <row r="208" spans="1:12" x14ac:dyDescent="0.25">
      <c r="A208" t="s">
        <v>22</v>
      </c>
      <c r="B208" s="12">
        <v>45722</v>
      </c>
      <c r="C208" t="s">
        <v>173</v>
      </c>
      <c r="D208" s="14">
        <v>12</v>
      </c>
      <c r="E208" t="s">
        <v>16</v>
      </c>
      <c r="F208">
        <v>3</v>
      </c>
      <c r="G208">
        <v>0</v>
      </c>
      <c r="H208">
        <v>7</v>
      </c>
      <c r="I208">
        <v>1</v>
      </c>
      <c r="J208">
        <f>57+33+32</f>
        <v>122</v>
      </c>
      <c r="K208">
        <f>57+42+42</f>
        <v>141</v>
      </c>
      <c r="L208" t="s">
        <v>14</v>
      </c>
    </row>
    <row r="209" spans="1:12" x14ac:dyDescent="0.25">
      <c r="A209" t="s">
        <v>22</v>
      </c>
      <c r="B209" s="12">
        <v>45722</v>
      </c>
      <c r="C209" t="s">
        <v>51</v>
      </c>
      <c r="D209" s="14">
        <v>-8</v>
      </c>
      <c r="E209" t="s">
        <v>14</v>
      </c>
      <c r="F209">
        <v>3</v>
      </c>
      <c r="G209">
        <v>3</v>
      </c>
      <c r="H209">
        <v>8</v>
      </c>
      <c r="I209">
        <v>6</v>
      </c>
      <c r="J209">
        <f>62+54+42</f>
        <v>158</v>
      </c>
      <c r="K209">
        <f>51+52+32</f>
        <v>135</v>
      </c>
      <c r="L209" t="s">
        <v>16</v>
      </c>
    </row>
    <row r="210" spans="1:12" x14ac:dyDescent="0.25">
      <c r="A210" t="s">
        <v>22</v>
      </c>
      <c r="B210" s="12">
        <v>45722</v>
      </c>
      <c r="C210" t="s">
        <v>48</v>
      </c>
      <c r="D210" s="14">
        <v>-8</v>
      </c>
      <c r="E210" t="s">
        <v>14</v>
      </c>
      <c r="F210">
        <v>3</v>
      </c>
      <c r="G210">
        <v>3</v>
      </c>
      <c r="H210">
        <v>8</v>
      </c>
      <c r="I210">
        <v>6</v>
      </c>
      <c r="J210">
        <f>62+42+58</f>
        <v>162</v>
      </c>
      <c r="K210">
        <f>51+33+50</f>
        <v>134</v>
      </c>
      <c r="L210" t="s">
        <v>16</v>
      </c>
    </row>
    <row r="211" spans="1:12" x14ac:dyDescent="0.25">
      <c r="A211" t="s">
        <v>22</v>
      </c>
      <c r="B211" s="12">
        <v>45722</v>
      </c>
      <c r="C211" t="s">
        <v>188</v>
      </c>
      <c r="D211" s="14">
        <v>-4</v>
      </c>
      <c r="E211" t="s">
        <v>14</v>
      </c>
      <c r="F211">
        <v>3</v>
      </c>
      <c r="G211">
        <v>3</v>
      </c>
      <c r="H211">
        <v>9</v>
      </c>
      <c r="I211">
        <v>6</v>
      </c>
      <c r="J211">
        <f>57+54+58</f>
        <v>169</v>
      </c>
      <c r="K211">
        <f>57+52+50</f>
        <v>159</v>
      </c>
      <c r="L211" t="s">
        <v>16</v>
      </c>
    </row>
    <row r="212" spans="1:12" x14ac:dyDescent="0.25">
      <c r="A212" t="s">
        <v>22</v>
      </c>
      <c r="B212" s="12">
        <v>45722</v>
      </c>
      <c r="C212" t="s">
        <v>114</v>
      </c>
      <c r="D212" s="14">
        <v>-2</v>
      </c>
      <c r="E212" t="s">
        <v>14</v>
      </c>
      <c r="F212">
        <v>3</v>
      </c>
      <c r="G212">
        <v>3</v>
      </c>
      <c r="H212">
        <v>7</v>
      </c>
      <c r="I212">
        <v>6</v>
      </c>
      <c r="J212">
        <f>57+42+42</f>
        <v>141</v>
      </c>
      <c r="K212">
        <f>57+33+32</f>
        <v>122</v>
      </c>
      <c r="L212" t="s">
        <v>16</v>
      </c>
    </row>
    <row r="213" spans="1:12" x14ac:dyDescent="0.25">
      <c r="A213" t="s">
        <v>22</v>
      </c>
      <c r="B213" s="12">
        <v>45726</v>
      </c>
      <c r="C213" t="s">
        <v>101</v>
      </c>
      <c r="D213" s="14">
        <v>-8</v>
      </c>
      <c r="E213" t="s">
        <v>18</v>
      </c>
      <c r="F213">
        <v>3</v>
      </c>
      <c r="G213">
        <v>3</v>
      </c>
      <c r="H213">
        <v>8</v>
      </c>
      <c r="I213">
        <v>6</v>
      </c>
      <c r="J213">
        <f>56+51+42</f>
        <v>149</v>
      </c>
      <c r="K213">
        <f>54+57+25</f>
        <v>136</v>
      </c>
      <c r="L213" t="s">
        <v>16</v>
      </c>
    </row>
    <row r="214" spans="1:12" x14ac:dyDescent="0.25">
      <c r="A214" t="s">
        <v>22</v>
      </c>
      <c r="B214" s="12">
        <v>45726</v>
      </c>
      <c r="C214" t="s">
        <v>175</v>
      </c>
      <c r="D214" s="14">
        <v>-2</v>
      </c>
      <c r="E214" t="s">
        <v>18</v>
      </c>
      <c r="F214">
        <v>3</v>
      </c>
      <c r="G214">
        <v>3</v>
      </c>
      <c r="H214">
        <v>8</v>
      </c>
      <c r="I214">
        <v>6</v>
      </c>
      <c r="J214">
        <f>56+42+61</f>
        <v>159</v>
      </c>
      <c r="K214">
        <f>54+33+52</f>
        <v>139</v>
      </c>
      <c r="L214" t="s">
        <v>16</v>
      </c>
    </row>
    <row r="215" spans="1:12" x14ac:dyDescent="0.25">
      <c r="A215" t="s">
        <v>22</v>
      </c>
      <c r="B215" s="12">
        <v>45726</v>
      </c>
      <c r="C215" t="s">
        <v>102</v>
      </c>
      <c r="D215" s="14">
        <v>2</v>
      </c>
      <c r="E215" t="s">
        <v>18</v>
      </c>
      <c r="F215">
        <v>3</v>
      </c>
      <c r="G215">
        <v>3</v>
      </c>
      <c r="H215">
        <v>9</v>
      </c>
      <c r="I215">
        <v>6</v>
      </c>
      <c r="J215">
        <f>61+51+61</f>
        <v>173</v>
      </c>
      <c r="K215">
        <f>59+57+52</f>
        <v>168</v>
      </c>
      <c r="L215" t="s">
        <v>16</v>
      </c>
    </row>
    <row r="216" spans="1:12" x14ac:dyDescent="0.25">
      <c r="A216" t="s">
        <v>22</v>
      </c>
      <c r="B216" s="12">
        <v>45726</v>
      </c>
      <c r="C216" t="s">
        <v>103</v>
      </c>
      <c r="D216" s="14">
        <v>4</v>
      </c>
      <c r="E216" t="s">
        <v>18</v>
      </c>
      <c r="F216">
        <v>3</v>
      </c>
      <c r="G216">
        <v>3</v>
      </c>
      <c r="H216">
        <v>7</v>
      </c>
      <c r="I216">
        <v>6</v>
      </c>
      <c r="J216">
        <f>61+42+42</f>
        <v>145</v>
      </c>
      <c r="K216">
        <f>59+33+25</f>
        <v>117</v>
      </c>
      <c r="L216" t="s">
        <v>16</v>
      </c>
    </row>
    <row r="217" spans="1:12" x14ac:dyDescent="0.25">
      <c r="A217" t="s">
        <v>22</v>
      </c>
      <c r="B217" s="12">
        <v>45726</v>
      </c>
      <c r="C217" t="s">
        <v>176</v>
      </c>
      <c r="D217" s="14">
        <v>-4</v>
      </c>
      <c r="E217" t="s">
        <v>16</v>
      </c>
      <c r="F217">
        <v>3</v>
      </c>
      <c r="G217">
        <v>0</v>
      </c>
      <c r="H217">
        <v>8</v>
      </c>
      <c r="I217">
        <v>2</v>
      </c>
      <c r="J217">
        <f>54+57+25</f>
        <v>136</v>
      </c>
      <c r="K217">
        <f>56+51+42</f>
        <v>149</v>
      </c>
      <c r="L217" t="s">
        <v>18</v>
      </c>
    </row>
    <row r="218" spans="1:12" x14ac:dyDescent="0.25">
      <c r="A218" t="s">
        <v>22</v>
      </c>
      <c r="B218" s="12">
        <v>45726</v>
      </c>
      <c r="C218" t="s">
        <v>171</v>
      </c>
      <c r="D218" s="14">
        <v>-2</v>
      </c>
      <c r="E218" t="s">
        <v>16</v>
      </c>
      <c r="F218">
        <v>3</v>
      </c>
      <c r="G218">
        <v>0</v>
      </c>
      <c r="H218">
        <v>8</v>
      </c>
      <c r="I218">
        <v>2</v>
      </c>
      <c r="J218">
        <f>54+33+52</f>
        <v>139</v>
      </c>
      <c r="K218">
        <f>56+42+61</f>
        <v>159</v>
      </c>
      <c r="L218" t="s">
        <v>18</v>
      </c>
    </row>
    <row r="219" spans="1:12" x14ac:dyDescent="0.25">
      <c r="A219" t="s">
        <v>22</v>
      </c>
      <c r="B219" s="12">
        <v>45726</v>
      </c>
      <c r="C219" t="s">
        <v>172</v>
      </c>
      <c r="D219" s="14">
        <v>4</v>
      </c>
      <c r="E219" t="s">
        <v>16</v>
      </c>
      <c r="F219">
        <v>3</v>
      </c>
      <c r="G219">
        <v>0</v>
      </c>
      <c r="H219">
        <v>9</v>
      </c>
      <c r="I219">
        <v>3</v>
      </c>
      <c r="J219">
        <f>59+57+52</f>
        <v>168</v>
      </c>
      <c r="K219">
        <f>61+51+61</f>
        <v>173</v>
      </c>
      <c r="L219" t="s">
        <v>18</v>
      </c>
    </row>
    <row r="220" spans="1:12" x14ac:dyDescent="0.25">
      <c r="A220" t="s">
        <v>22</v>
      </c>
      <c r="B220" s="12">
        <v>45726</v>
      </c>
      <c r="C220" t="s">
        <v>173</v>
      </c>
      <c r="D220" s="14">
        <v>12</v>
      </c>
      <c r="E220" t="s">
        <v>16</v>
      </c>
      <c r="F220">
        <v>3</v>
      </c>
      <c r="G220">
        <v>0</v>
      </c>
      <c r="H220">
        <v>7</v>
      </c>
      <c r="I220">
        <v>1</v>
      </c>
      <c r="J220">
        <f>59+33+25</f>
        <v>117</v>
      </c>
      <c r="K220">
        <f>61+42+42</f>
        <v>145</v>
      </c>
      <c r="L220" t="s">
        <v>18</v>
      </c>
    </row>
    <row r="221" spans="1:12" x14ac:dyDescent="0.25">
      <c r="A221" t="s">
        <v>22</v>
      </c>
      <c r="B221" s="12">
        <v>45730</v>
      </c>
      <c r="C221" t="s">
        <v>116</v>
      </c>
      <c r="D221" s="14">
        <v>-2</v>
      </c>
      <c r="E221" t="s">
        <v>15</v>
      </c>
      <c r="F221">
        <v>3</v>
      </c>
      <c r="G221">
        <v>2</v>
      </c>
      <c r="H221">
        <v>7</v>
      </c>
      <c r="I221">
        <v>4</v>
      </c>
      <c r="J221">
        <f>62+29+42</f>
        <v>133</v>
      </c>
      <c r="K221">
        <f>58+42+36</f>
        <v>136</v>
      </c>
      <c r="L221" t="s">
        <v>16</v>
      </c>
    </row>
    <row r="222" spans="1:12" x14ac:dyDescent="0.25">
      <c r="A222" t="s">
        <v>22</v>
      </c>
      <c r="B222" s="12">
        <v>45730</v>
      </c>
      <c r="C222" t="s">
        <v>169</v>
      </c>
      <c r="D222" s="14">
        <v>0</v>
      </c>
      <c r="E222" t="s">
        <v>15</v>
      </c>
      <c r="F222">
        <v>3</v>
      </c>
      <c r="G222">
        <v>2</v>
      </c>
      <c r="H222">
        <v>8</v>
      </c>
      <c r="I222">
        <v>4</v>
      </c>
      <c r="J222">
        <f>62+39+61</f>
        <v>162</v>
      </c>
      <c r="K222">
        <f>58+42+58</f>
        <v>158</v>
      </c>
      <c r="L222" t="s">
        <v>16</v>
      </c>
    </row>
    <row r="223" spans="1:12" x14ac:dyDescent="0.25">
      <c r="A223" t="s">
        <v>22</v>
      </c>
      <c r="B223" s="12">
        <v>45730</v>
      </c>
      <c r="C223" t="s">
        <v>98</v>
      </c>
      <c r="D223" s="14">
        <v>2</v>
      </c>
      <c r="E223" t="s">
        <v>15</v>
      </c>
      <c r="F223">
        <v>3</v>
      </c>
      <c r="G223">
        <v>2</v>
      </c>
      <c r="H223">
        <v>7</v>
      </c>
      <c r="I223">
        <v>4</v>
      </c>
      <c r="J223">
        <f>42+29+61</f>
        <v>132</v>
      </c>
      <c r="K223">
        <f>39+42+58</f>
        <v>139</v>
      </c>
      <c r="L223" t="s">
        <v>16</v>
      </c>
    </row>
    <row r="224" spans="1:12" x14ac:dyDescent="0.25">
      <c r="A224" t="s">
        <v>22</v>
      </c>
      <c r="B224" s="12">
        <v>45730</v>
      </c>
      <c r="C224" t="s">
        <v>99</v>
      </c>
      <c r="D224" s="14">
        <v>4</v>
      </c>
      <c r="E224" t="s">
        <v>15</v>
      </c>
      <c r="F224">
        <v>3</v>
      </c>
      <c r="G224">
        <v>2</v>
      </c>
      <c r="H224">
        <v>6</v>
      </c>
      <c r="I224">
        <v>4</v>
      </c>
      <c r="J224">
        <f>42+39+42</f>
        <v>123</v>
      </c>
      <c r="K224">
        <f>39+42+36</f>
        <v>117</v>
      </c>
      <c r="L224" t="s">
        <v>16</v>
      </c>
    </row>
    <row r="225" spans="1:12" x14ac:dyDescent="0.25">
      <c r="A225" t="s">
        <v>22</v>
      </c>
      <c r="B225" s="12">
        <v>45730</v>
      </c>
      <c r="C225" t="s">
        <v>176</v>
      </c>
      <c r="D225" s="14">
        <v>-4</v>
      </c>
      <c r="E225" t="s">
        <v>16</v>
      </c>
      <c r="F225">
        <v>3</v>
      </c>
      <c r="G225">
        <v>1</v>
      </c>
      <c r="H225">
        <v>7</v>
      </c>
      <c r="I225">
        <v>3</v>
      </c>
      <c r="J225">
        <f>58+42+36</f>
        <v>136</v>
      </c>
      <c r="K225">
        <f>62+29+42</f>
        <v>133</v>
      </c>
      <c r="L225" t="s">
        <v>18</v>
      </c>
    </row>
    <row r="226" spans="1:12" x14ac:dyDescent="0.25">
      <c r="A226" t="s">
        <v>22</v>
      </c>
      <c r="B226" s="12">
        <v>45730</v>
      </c>
      <c r="C226" t="s">
        <v>170</v>
      </c>
      <c r="D226" s="14">
        <v>0</v>
      </c>
      <c r="E226" t="s">
        <v>16</v>
      </c>
      <c r="F226">
        <v>3</v>
      </c>
      <c r="G226">
        <v>1</v>
      </c>
      <c r="H226">
        <v>8</v>
      </c>
      <c r="I226">
        <v>4</v>
      </c>
      <c r="J226">
        <f>58+42+58</f>
        <v>158</v>
      </c>
      <c r="K226">
        <f>62+39+61</f>
        <v>162</v>
      </c>
      <c r="L226" t="s">
        <v>18</v>
      </c>
    </row>
    <row r="227" spans="1:12" x14ac:dyDescent="0.25">
      <c r="A227" t="s">
        <v>22</v>
      </c>
      <c r="B227" s="12">
        <v>45730</v>
      </c>
      <c r="C227" t="s">
        <v>172</v>
      </c>
      <c r="D227" s="14">
        <v>4</v>
      </c>
      <c r="E227" t="s">
        <v>16</v>
      </c>
      <c r="F227">
        <v>3</v>
      </c>
      <c r="G227">
        <v>1</v>
      </c>
      <c r="H227">
        <v>7</v>
      </c>
      <c r="I227">
        <v>3</v>
      </c>
      <c r="J227">
        <f>39+42+58</f>
        <v>139</v>
      </c>
      <c r="K227">
        <f>42+29+61</f>
        <v>132</v>
      </c>
      <c r="L227" t="s">
        <v>18</v>
      </c>
    </row>
    <row r="228" spans="1:12" x14ac:dyDescent="0.25">
      <c r="A228" t="s">
        <v>22</v>
      </c>
      <c r="B228" s="12">
        <v>45730</v>
      </c>
      <c r="C228" t="s">
        <v>173</v>
      </c>
      <c r="D228" s="14">
        <v>12</v>
      </c>
      <c r="E228" t="s">
        <v>16</v>
      </c>
      <c r="F228">
        <v>3</v>
      </c>
      <c r="G228">
        <v>1</v>
      </c>
      <c r="H228">
        <v>6</v>
      </c>
      <c r="I228">
        <v>2</v>
      </c>
      <c r="J228">
        <f>39+42+36</f>
        <v>117</v>
      </c>
      <c r="K228">
        <f>42+39+42</f>
        <v>123</v>
      </c>
      <c r="L228" t="s">
        <v>18</v>
      </c>
    </row>
    <row r="229" spans="1:12" x14ac:dyDescent="0.25">
      <c r="A229" t="s">
        <v>22</v>
      </c>
      <c r="B229" s="12">
        <v>45737</v>
      </c>
      <c r="C229" t="s">
        <v>95</v>
      </c>
      <c r="D229" s="14">
        <v>6</v>
      </c>
      <c r="E229" t="s">
        <v>12</v>
      </c>
      <c r="F229">
        <v>3</v>
      </c>
      <c r="G229">
        <v>1</v>
      </c>
      <c r="H229">
        <v>7</v>
      </c>
      <c r="I229">
        <v>2</v>
      </c>
      <c r="J229">
        <f>57+32+38</f>
        <v>127</v>
      </c>
      <c r="K229">
        <f>56+42+42</f>
        <v>140</v>
      </c>
      <c r="L229" t="s">
        <v>15</v>
      </c>
    </row>
    <row r="230" spans="1:12" x14ac:dyDescent="0.25">
      <c r="A230" t="s">
        <v>22</v>
      </c>
      <c r="B230" s="12">
        <v>45737</v>
      </c>
      <c r="C230" t="s">
        <v>113</v>
      </c>
      <c r="D230" s="14">
        <v>8</v>
      </c>
      <c r="E230" t="s">
        <v>12</v>
      </c>
      <c r="F230">
        <v>3</v>
      </c>
      <c r="G230">
        <v>2</v>
      </c>
      <c r="H230">
        <v>8</v>
      </c>
      <c r="I230">
        <v>4</v>
      </c>
      <c r="J230">
        <f>57+57+38</f>
        <v>152</v>
      </c>
      <c r="K230">
        <f>56+55+42</f>
        <v>153</v>
      </c>
      <c r="L230" t="s">
        <v>15</v>
      </c>
    </row>
    <row r="231" spans="1:12" x14ac:dyDescent="0.25">
      <c r="A231" t="s">
        <v>22</v>
      </c>
      <c r="B231" s="12">
        <v>45737</v>
      </c>
      <c r="C231" t="s">
        <v>112</v>
      </c>
      <c r="D231" s="14">
        <v>6</v>
      </c>
      <c r="E231" t="s">
        <v>12</v>
      </c>
      <c r="F231">
        <v>3</v>
      </c>
      <c r="G231">
        <v>1</v>
      </c>
      <c r="H231">
        <v>6</v>
      </c>
      <c r="I231">
        <v>2</v>
      </c>
      <c r="J231">
        <f>42+32+38</f>
        <v>112</v>
      </c>
      <c r="K231">
        <f>35+42+42</f>
        <v>119</v>
      </c>
      <c r="L231" t="s">
        <v>15</v>
      </c>
    </row>
    <row r="232" spans="1:12" x14ac:dyDescent="0.25">
      <c r="A232" t="s">
        <v>22</v>
      </c>
      <c r="B232" s="12">
        <v>45737</v>
      </c>
      <c r="C232" t="s">
        <v>122</v>
      </c>
      <c r="D232" s="14">
        <v>12</v>
      </c>
      <c r="E232" t="s">
        <v>12</v>
      </c>
      <c r="F232">
        <v>3</v>
      </c>
      <c r="G232">
        <v>2</v>
      </c>
      <c r="H232">
        <v>7</v>
      </c>
      <c r="I232">
        <v>4</v>
      </c>
      <c r="J232">
        <f>42+57+38</f>
        <v>137</v>
      </c>
      <c r="K232">
        <f>35+55+42</f>
        <v>132</v>
      </c>
      <c r="L232" t="s">
        <v>15</v>
      </c>
    </row>
    <row r="233" spans="1:12" x14ac:dyDescent="0.25">
      <c r="A233" t="s">
        <v>22</v>
      </c>
      <c r="B233" s="12">
        <v>45737</v>
      </c>
      <c r="C233" t="s">
        <v>116</v>
      </c>
      <c r="D233" s="14">
        <v>-2</v>
      </c>
      <c r="E233" t="s">
        <v>15</v>
      </c>
      <c r="F233">
        <v>3</v>
      </c>
      <c r="G233">
        <v>2</v>
      </c>
      <c r="H233">
        <v>7</v>
      </c>
      <c r="I233">
        <v>5</v>
      </c>
      <c r="J233">
        <f>56+42+42</f>
        <v>140</v>
      </c>
      <c r="K233">
        <f>57+32+38</f>
        <v>127</v>
      </c>
      <c r="L233" t="s">
        <v>12</v>
      </c>
    </row>
    <row r="234" spans="1:12" x14ac:dyDescent="0.25">
      <c r="A234" t="s">
        <v>22</v>
      </c>
      <c r="B234" s="12">
        <v>45737</v>
      </c>
      <c r="C234" t="s">
        <v>168</v>
      </c>
      <c r="D234" s="14">
        <v>-2</v>
      </c>
      <c r="E234" t="s">
        <v>15</v>
      </c>
      <c r="F234">
        <v>3</v>
      </c>
      <c r="G234">
        <v>1</v>
      </c>
      <c r="H234">
        <v>8</v>
      </c>
      <c r="I234">
        <v>4</v>
      </c>
      <c r="J234">
        <f>56+55+42</f>
        <v>153</v>
      </c>
      <c r="K234">
        <f>57+57+38</f>
        <v>152</v>
      </c>
      <c r="L234" t="s">
        <v>12</v>
      </c>
    </row>
    <row r="235" spans="1:12" x14ac:dyDescent="0.25">
      <c r="A235" t="s">
        <v>22</v>
      </c>
      <c r="B235" s="12">
        <v>45737</v>
      </c>
      <c r="C235" t="s">
        <v>98</v>
      </c>
      <c r="D235" s="14">
        <v>2</v>
      </c>
      <c r="E235" t="s">
        <v>15</v>
      </c>
      <c r="F235">
        <v>3</v>
      </c>
      <c r="G235">
        <v>2</v>
      </c>
      <c r="H235">
        <v>6</v>
      </c>
      <c r="I235">
        <v>4</v>
      </c>
      <c r="J235">
        <f>35+42+42</f>
        <v>119</v>
      </c>
      <c r="K235">
        <f>42+32+38</f>
        <v>112</v>
      </c>
      <c r="L235" t="s">
        <v>12</v>
      </c>
    </row>
    <row r="236" spans="1:12" x14ac:dyDescent="0.25">
      <c r="A236" t="s">
        <v>22</v>
      </c>
      <c r="B236" s="12">
        <v>45737</v>
      </c>
      <c r="C236" t="s">
        <v>99</v>
      </c>
      <c r="D236" s="14">
        <v>4</v>
      </c>
      <c r="E236" t="s">
        <v>15</v>
      </c>
      <c r="F236">
        <v>3</v>
      </c>
      <c r="G236">
        <v>1</v>
      </c>
      <c r="H236">
        <v>7</v>
      </c>
      <c r="I236">
        <v>3</v>
      </c>
      <c r="J236">
        <f>35+55+42</f>
        <v>132</v>
      </c>
      <c r="K236">
        <f>42+57+38</f>
        <v>137</v>
      </c>
      <c r="L236" t="s">
        <v>12</v>
      </c>
    </row>
    <row r="237" spans="1:12" x14ac:dyDescent="0.25">
      <c r="A237" t="s">
        <v>22</v>
      </c>
      <c r="B237" s="12">
        <v>45740</v>
      </c>
      <c r="C237" t="s">
        <v>190</v>
      </c>
      <c r="D237" s="14">
        <v>0</v>
      </c>
      <c r="E237" t="s">
        <v>18</v>
      </c>
      <c r="F237">
        <v>3</v>
      </c>
      <c r="G237">
        <v>0</v>
      </c>
      <c r="H237">
        <v>6</v>
      </c>
      <c r="I237">
        <v>0</v>
      </c>
      <c r="J237">
        <f>22+35+39</f>
        <v>96</v>
      </c>
      <c r="K237">
        <f>42+42+42</f>
        <v>126</v>
      </c>
      <c r="L237" t="s">
        <v>13</v>
      </c>
    </row>
    <row r="238" spans="1:12" x14ac:dyDescent="0.25">
      <c r="A238" t="s">
        <v>22</v>
      </c>
      <c r="B238" s="12">
        <v>45740</v>
      </c>
      <c r="C238" t="s">
        <v>191</v>
      </c>
      <c r="D238" s="14">
        <v>0</v>
      </c>
      <c r="E238" t="s">
        <v>18</v>
      </c>
      <c r="F238">
        <v>3</v>
      </c>
      <c r="G238">
        <v>0</v>
      </c>
      <c r="H238">
        <v>8</v>
      </c>
      <c r="I238">
        <v>2</v>
      </c>
      <c r="J238">
        <f>22+49+54</f>
        <v>125</v>
      </c>
      <c r="K238">
        <f>42+60+57</f>
        <v>159</v>
      </c>
      <c r="L238" t="s">
        <v>13</v>
      </c>
    </row>
    <row r="239" spans="1:12" x14ac:dyDescent="0.25">
      <c r="A239" t="s">
        <v>22</v>
      </c>
      <c r="B239" s="12">
        <v>45740</v>
      </c>
      <c r="C239" t="s">
        <v>103</v>
      </c>
      <c r="D239" s="14">
        <v>2</v>
      </c>
      <c r="E239" t="s">
        <v>18</v>
      </c>
      <c r="F239">
        <v>3</v>
      </c>
      <c r="G239">
        <v>0</v>
      </c>
      <c r="H239">
        <v>7</v>
      </c>
      <c r="I239">
        <v>1</v>
      </c>
      <c r="J239">
        <f>32+35+54</f>
        <v>121</v>
      </c>
      <c r="K239">
        <f>42+42+57</f>
        <v>141</v>
      </c>
      <c r="L239" t="s">
        <v>13</v>
      </c>
    </row>
    <row r="240" spans="1:12" x14ac:dyDescent="0.25">
      <c r="A240" t="s">
        <v>22</v>
      </c>
      <c r="B240" s="12">
        <v>45740</v>
      </c>
      <c r="C240" t="s">
        <v>133</v>
      </c>
      <c r="D240" s="14">
        <v>4</v>
      </c>
      <c r="E240" t="s">
        <v>18</v>
      </c>
      <c r="F240">
        <v>3</v>
      </c>
      <c r="G240">
        <v>0</v>
      </c>
      <c r="H240">
        <v>7</v>
      </c>
      <c r="I240">
        <v>1</v>
      </c>
      <c r="J240">
        <f>32+49+39</f>
        <v>120</v>
      </c>
      <c r="K240">
        <f>42+60+42</f>
        <v>144</v>
      </c>
      <c r="L240" t="s">
        <v>13</v>
      </c>
    </row>
    <row r="241" spans="1:12" x14ac:dyDescent="0.25">
      <c r="A241" t="s">
        <v>22</v>
      </c>
      <c r="B241" s="12">
        <v>45740</v>
      </c>
      <c r="C241" t="s">
        <v>42</v>
      </c>
      <c r="D241" s="14">
        <v>4</v>
      </c>
      <c r="E241" t="s">
        <v>13</v>
      </c>
      <c r="F241">
        <v>3</v>
      </c>
      <c r="G241">
        <v>3</v>
      </c>
      <c r="H241">
        <v>6</v>
      </c>
      <c r="I241">
        <v>6</v>
      </c>
      <c r="J241">
        <f>42+42+42</f>
        <v>126</v>
      </c>
      <c r="K241">
        <f>22+35+39</f>
        <v>96</v>
      </c>
      <c r="L241" t="s">
        <v>18</v>
      </c>
    </row>
    <row r="242" spans="1:12" x14ac:dyDescent="0.25">
      <c r="A242" t="s">
        <v>22</v>
      </c>
      <c r="B242" s="12">
        <v>45740</v>
      </c>
      <c r="C242" t="s">
        <v>41</v>
      </c>
      <c r="D242" s="14">
        <v>6</v>
      </c>
      <c r="E242" t="s">
        <v>13</v>
      </c>
      <c r="F242">
        <v>3</v>
      </c>
      <c r="G242">
        <v>3</v>
      </c>
      <c r="H242">
        <v>8</v>
      </c>
      <c r="I242">
        <v>6</v>
      </c>
      <c r="J242">
        <f>42+60+57</f>
        <v>159</v>
      </c>
      <c r="K242">
        <f>22+49+54</f>
        <v>125</v>
      </c>
      <c r="L242" t="s">
        <v>18</v>
      </c>
    </row>
    <row r="243" spans="1:12" x14ac:dyDescent="0.25">
      <c r="A243" t="s">
        <v>22</v>
      </c>
      <c r="B243" s="12">
        <v>45740</v>
      </c>
      <c r="C243" t="s">
        <v>108</v>
      </c>
      <c r="D243" s="14">
        <v>8</v>
      </c>
      <c r="E243" t="s">
        <v>13</v>
      </c>
      <c r="F243">
        <v>3</v>
      </c>
      <c r="G243">
        <v>3</v>
      </c>
      <c r="H243">
        <v>7</v>
      </c>
      <c r="I243">
        <v>6</v>
      </c>
      <c r="J243">
        <f>42+42+57</f>
        <v>141</v>
      </c>
      <c r="K243">
        <f>32+35+54</f>
        <v>121</v>
      </c>
      <c r="L243" t="s">
        <v>18</v>
      </c>
    </row>
    <row r="244" spans="1:12" x14ac:dyDescent="0.25">
      <c r="A244" t="s">
        <v>22</v>
      </c>
      <c r="B244" s="12">
        <v>45740</v>
      </c>
      <c r="C244" t="s">
        <v>192</v>
      </c>
      <c r="D244" s="14">
        <v>8</v>
      </c>
      <c r="E244" t="s">
        <v>13</v>
      </c>
      <c r="F244">
        <v>3</v>
      </c>
      <c r="G244">
        <v>3</v>
      </c>
      <c r="H244">
        <v>7</v>
      </c>
      <c r="I244">
        <v>6</v>
      </c>
      <c r="J244">
        <f>42+60+42</f>
        <v>144</v>
      </c>
      <c r="K244">
        <f>32+49+39</f>
        <v>120</v>
      </c>
      <c r="L244" t="s">
        <v>18</v>
      </c>
    </row>
    <row r="245" spans="1:12" x14ac:dyDescent="0.25">
      <c r="A245" t="s">
        <v>22</v>
      </c>
      <c r="B245" s="12">
        <v>45744</v>
      </c>
      <c r="C245" t="s">
        <v>48</v>
      </c>
      <c r="D245" s="14">
        <v>-8</v>
      </c>
      <c r="E245" t="s">
        <v>14</v>
      </c>
      <c r="F245">
        <v>3</v>
      </c>
      <c r="G245">
        <v>2</v>
      </c>
      <c r="H245">
        <v>8</v>
      </c>
      <c r="I245">
        <v>5</v>
      </c>
      <c r="J245">
        <f>61+42+58</f>
        <v>161</v>
      </c>
      <c r="K245">
        <f>53+35+56</f>
        <v>144</v>
      </c>
      <c r="L245" t="s">
        <v>15</v>
      </c>
    </row>
    <row r="246" spans="1:12" x14ac:dyDescent="0.25">
      <c r="A246" t="s">
        <v>22</v>
      </c>
      <c r="B246" s="12">
        <v>45744</v>
      </c>
      <c r="C246" t="s">
        <v>51</v>
      </c>
      <c r="D246" s="14">
        <v>-8</v>
      </c>
      <c r="E246" t="s">
        <v>14</v>
      </c>
      <c r="F246">
        <v>3</v>
      </c>
      <c r="G246">
        <v>2</v>
      </c>
      <c r="H246">
        <v>8</v>
      </c>
      <c r="I246">
        <v>5</v>
      </c>
      <c r="J246">
        <f>61+42+53</f>
        <v>156</v>
      </c>
      <c r="K246">
        <f>53+32+61</f>
        <v>146</v>
      </c>
      <c r="L246" t="s">
        <v>15</v>
      </c>
    </row>
    <row r="247" spans="1:12" x14ac:dyDescent="0.25">
      <c r="A247" t="s">
        <v>22</v>
      </c>
      <c r="B247" s="12">
        <v>45744</v>
      </c>
      <c r="C247" t="s">
        <v>47</v>
      </c>
      <c r="D247" s="14">
        <v>-8</v>
      </c>
      <c r="E247" t="s">
        <v>14</v>
      </c>
      <c r="F247">
        <v>3</v>
      </c>
      <c r="G247">
        <v>2</v>
      </c>
      <c r="H247">
        <v>7</v>
      </c>
      <c r="I247">
        <v>5</v>
      </c>
      <c r="J247">
        <f>42+42+53</f>
        <v>137</v>
      </c>
      <c r="K247">
        <f>33+35+61</f>
        <v>129</v>
      </c>
      <c r="L247" t="s">
        <v>15</v>
      </c>
    </row>
    <row r="248" spans="1:12" x14ac:dyDescent="0.25">
      <c r="A248" t="s">
        <v>22</v>
      </c>
      <c r="B248" s="12">
        <v>45744</v>
      </c>
      <c r="C248" t="s">
        <v>188</v>
      </c>
      <c r="D248" s="14">
        <v>-4</v>
      </c>
      <c r="E248" t="s">
        <v>14</v>
      </c>
      <c r="F248">
        <v>3</v>
      </c>
      <c r="G248">
        <v>2</v>
      </c>
      <c r="H248">
        <v>7</v>
      </c>
      <c r="I248">
        <v>5</v>
      </c>
      <c r="J248">
        <f>42+42+58</f>
        <v>142</v>
      </c>
      <c r="K248">
        <f>33+32+56</f>
        <v>121</v>
      </c>
      <c r="L248" t="s">
        <v>15</v>
      </c>
    </row>
    <row r="249" spans="1:12" x14ac:dyDescent="0.25">
      <c r="A249" t="s">
        <v>22</v>
      </c>
      <c r="B249" s="12">
        <v>45744</v>
      </c>
      <c r="C249" t="s">
        <v>116</v>
      </c>
      <c r="D249" s="14">
        <v>-2</v>
      </c>
      <c r="E249" t="s">
        <v>15</v>
      </c>
      <c r="F249">
        <v>3</v>
      </c>
      <c r="G249">
        <v>1</v>
      </c>
      <c r="H249">
        <v>8</v>
      </c>
      <c r="I249">
        <v>3</v>
      </c>
      <c r="J249">
        <f>53+35+56</f>
        <v>144</v>
      </c>
      <c r="K249">
        <f>61+42+58</f>
        <v>161</v>
      </c>
      <c r="L249" t="s">
        <v>14</v>
      </c>
    </row>
    <row r="250" spans="1:12" x14ac:dyDescent="0.25">
      <c r="A250" t="s">
        <v>22</v>
      </c>
      <c r="B250" s="12">
        <v>45744</v>
      </c>
      <c r="C250" t="s">
        <v>100</v>
      </c>
      <c r="D250" s="14">
        <v>2</v>
      </c>
      <c r="E250" t="s">
        <v>15</v>
      </c>
      <c r="F250">
        <v>3</v>
      </c>
      <c r="G250">
        <v>1</v>
      </c>
      <c r="H250">
        <v>8</v>
      </c>
      <c r="I250">
        <v>3</v>
      </c>
      <c r="J250">
        <f>53+32+61</f>
        <v>146</v>
      </c>
      <c r="K250">
        <f>61+42+53</f>
        <v>156</v>
      </c>
      <c r="L250" t="s">
        <v>14</v>
      </c>
    </row>
    <row r="251" spans="1:12" x14ac:dyDescent="0.25">
      <c r="A251" t="s">
        <v>22</v>
      </c>
      <c r="B251" s="12">
        <v>45744</v>
      </c>
      <c r="C251" t="s">
        <v>98</v>
      </c>
      <c r="D251" s="14">
        <v>2</v>
      </c>
      <c r="E251" t="s">
        <v>15</v>
      </c>
      <c r="F251">
        <v>3</v>
      </c>
      <c r="G251">
        <v>1</v>
      </c>
      <c r="H251">
        <v>7</v>
      </c>
      <c r="I251">
        <v>2</v>
      </c>
      <c r="J251">
        <f>33+35+61</f>
        <v>129</v>
      </c>
      <c r="K251">
        <f>42+42+53</f>
        <v>137</v>
      </c>
      <c r="L251" t="s">
        <v>14</v>
      </c>
    </row>
    <row r="252" spans="1:12" x14ac:dyDescent="0.25">
      <c r="A252" t="s">
        <v>22</v>
      </c>
      <c r="B252" s="12">
        <v>45744</v>
      </c>
      <c r="C252" t="s">
        <v>99</v>
      </c>
      <c r="D252" s="14">
        <v>4</v>
      </c>
      <c r="E252" t="s">
        <v>15</v>
      </c>
      <c r="F252">
        <v>3</v>
      </c>
      <c r="G252">
        <v>1</v>
      </c>
      <c r="H252">
        <v>7</v>
      </c>
      <c r="I252">
        <v>2</v>
      </c>
      <c r="J252">
        <f>33+32+56</f>
        <v>121</v>
      </c>
      <c r="K252">
        <f>42+42+58</f>
        <v>142</v>
      </c>
      <c r="L252" t="s">
        <v>14</v>
      </c>
    </row>
    <row r="253" spans="1:12" x14ac:dyDescent="0.25">
      <c r="A253" t="s">
        <v>22</v>
      </c>
      <c r="B253" s="12">
        <v>45750</v>
      </c>
      <c r="C253" t="s">
        <v>58</v>
      </c>
      <c r="D253" s="14">
        <v>2</v>
      </c>
      <c r="E253" t="s">
        <v>10</v>
      </c>
      <c r="F253">
        <v>3</v>
      </c>
      <c r="G253">
        <v>2</v>
      </c>
      <c r="H253">
        <v>8</v>
      </c>
      <c r="I253">
        <v>5</v>
      </c>
      <c r="J253">
        <f>57+42+61</f>
        <v>160</v>
      </c>
      <c r="K253">
        <f>62+29+51</f>
        <v>142</v>
      </c>
      <c r="L253" t="s">
        <v>13</v>
      </c>
    </row>
    <row r="254" spans="1:12" x14ac:dyDescent="0.25">
      <c r="A254" t="s">
        <v>22</v>
      </c>
      <c r="B254" s="12">
        <v>45750</v>
      </c>
      <c r="C254" t="s">
        <v>37</v>
      </c>
      <c r="D254" s="14">
        <v>2</v>
      </c>
      <c r="E254" t="s">
        <v>10</v>
      </c>
      <c r="F254">
        <v>3</v>
      </c>
      <c r="G254">
        <v>1</v>
      </c>
      <c r="H254">
        <v>9</v>
      </c>
      <c r="I254">
        <v>4</v>
      </c>
      <c r="J254">
        <f>57+56+56</f>
        <v>169</v>
      </c>
      <c r="K254">
        <f>62+59+56</f>
        <v>177</v>
      </c>
      <c r="L254" t="s">
        <v>13</v>
      </c>
    </row>
    <row r="255" spans="1:12" x14ac:dyDescent="0.25">
      <c r="A255" t="s">
        <v>22</v>
      </c>
      <c r="B255" s="12">
        <v>45750</v>
      </c>
      <c r="C255" t="s">
        <v>197</v>
      </c>
      <c r="D255" s="14">
        <v>6</v>
      </c>
      <c r="E255" t="s">
        <v>10</v>
      </c>
      <c r="F255">
        <v>3</v>
      </c>
      <c r="G255">
        <v>2</v>
      </c>
      <c r="H255">
        <v>7</v>
      </c>
      <c r="I255">
        <v>4</v>
      </c>
      <c r="J255">
        <f>34+42+56</f>
        <v>132</v>
      </c>
      <c r="K255">
        <f>42+29+56</f>
        <v>127</v>
      </c>
      <c r="L255" t="s">
        <v>13</v>
      </c>
    </row>
    <row r="256" spans="1:12" x14ac:dyDescent="0.25">
      <c r="A256" t="s">
        <v>22</v>
      </c>
      <c r="B256" s="12">
        <v>45750</v>
      </c>
      <c r="C256" t="s">
        <v>38</v>
      </c>
      <c r="D256" s="14">
        <v>6</v>
      </c>
      <c r="E256" t="s">
        <v>10</v>
      </c>
      <c r="F256">
        <v>3</v>
      </c>
      <c r="G256">
        <v>1</v>
      </c>
      <c r="H256">
        <v>8</v>
      </c>
      <c r="I256">
        <v>3</v>
      </c>
      <c r="J256">
        <f>34+56+61</f>
        <v>151</v>
      </c>
      <c r="K256">
        <f>42+59+51</f>
        <v>152</v>
      </c>
      <c r="L256" t="s">
        <v>13</v>
      </c>
    </row>
    <row r="257" spans="1:12" x14ac:dyDescent="0.25">
      <c r="A257" t="s">
        <v>22</v>
      </c>
      <c r="B257" s="12">
        <v>45750</v>
      </c>
      <c r="C257" t="s">
        <v>41</v>
      </c>
      <c r="D257" s="14">
        <v>6</v>
      </c>
      <c r="E257" t="s">
        <v>13</v>
      </c>
      <c r="F257">
        <v>3</v>
      </c>
      <c r="G257">
        <v>1</v>
      </c>
      <c r="H257">
        <v>8</v>
      </c>
      <c r="I257">
        <v>3</v>
      </c>
      <c r="J257">
        <f>62+29+51</f>
        <v>142</v>
      </c>
      <c r="K257">
        <f>57+42+61</f>
        <v>160</v>
      </c>
      <c r="L257" t="s">
        <v>10</v>
      </c>
    </row>
    <row r="258" spans="1:12" x14ac:dyDescent="0.25">
      <c r="A258" t="s">
        <v>22</v>
      </c>
      <c r="B258" s="12">
        <v>45750</v>
      </c>
      <c r="C258" t="s">
        <v>108</v>
      </c>
      <c r="D258" s="14">
        <v>8</v>
      </c>
      <c r="E258" t="s">
        <v>13</v>
      </c>
      <c r="F258">
        <v>3</v>
      </c>
      <c r="G258">
        <v>2</v>
      </c>
      <c r="H258">
        <v>9</v>
      </c>
      <c r="I258">
        <v>5</v>
      </c>
      <c r="J258">
        <f>62+59+56</f>
        <v>177</v>
      </c>
      <c r="K258">
        <f>57+56+56</f>
        <v>169</v>
      </c>
      <c r="L258" t="s">
        <v>10</v>
      </c>
    </row>
    <row r="259" spans="1:12" x14ac:dyDescent="0.25">
      <c r="A259" t="s">
        <v>22</v>
      </c>
      <c r="B259" s="12">
        <v>45750</v>
      </c>
      <c r="C259" t="s">
        <v>167</v>
      </c>
      <c r="D259" s="14">
        <v>10</v>
      </c>
      <c r="E259" t="s">
        <v>13</v>
      </c>
      <c r="F259">
        <v>3</v>
      </c>
      <c r="G259">
        <v>1</v>
      </c>
      <c r="H259">
        <v>7</v>
      </c>
      <c r="I259">
        <v>3</v>
      </c>
      <c r="J259">
        <f>42+29+56</f>
        <v>127</v>
      </c>
      <c r="K259">
        <f>34+42+56</f>
        <v>132</v>
      </c>
      <c r="L259" t="s">
        <v>10</v>
      </c>
    </row>
    <row r="260" spans="1:12" x14ac:dyDescent="0.25">
      <c r="A260" t="s">
        <v>22</v>
      </c>
      <c r="B260" s="12">
        <v>45750</v>
      </c>
      <c r="C260" t="s">
        <v>185</v>
      </c>
      <c r="D260" s="14">
        <v>10</v>
      </c>
      <c r="E260" t="s">
        <v>13</v>
      </c>
      <c r="F260">
        <v>3</v>
      </c>
      <c r="G260">
        <v>2</v>
      </c>
      <c r="H260">
        <v>8</v>
      </c>
      <c r="I260">
        <v>5</v>
      </c>
      <c r="J260">
        <f>42+59+51</f>
        <v>152</v>
      </c>
      <c r="K260">
        <f>34+56+61</f>
        <v>151</v>
      </c>
      <c r="L260" t="s">
        <v>10</v>
      </c>
    </row>
    <row r="261" spans="1:12" x14ac:dyDescent="0.25">
      <c r="A261" t="s">
        <v>22</v>
      </c>
      <c r="B261" s="12">
        <v>45753</v>
      </c>
      <c r="C261" t="s">
        <v>101</v>
      </c>
      <c r="D261" s="14">
        <v>-8</v>
      </c>
      <c r="E261" t="s">
        <v>18</v>
      </c>
      <c r="F261">
        <v>3</v>
      </c>
      <c r="G261">
        <v>2</v>
      </c>
      <c r="H261">
        <v>7</v>
      </c>
      <c r="I261">
        <v>4</v>
      </c>
      <c r="J261">
        <f>38+58+42</f>
        <v>138</v>
      </c>
      <c r="K261">
        <f>42+54+8</f>
        <v>104</v>
      </c>
      <c r="L261" t="s">
        <v>14</v>
      </c>
    </row>
    <row r="262" spans="1:12" x14ac:dyDescent="0.25">
      <c r="A262" t="s">
        <v>22</v>
      </c>
      <c r="B262" s="12">
        <v>45753</v>
      </c>
      <c r="C262" t="s">
        <v>102</v>
      </c>
      <c r="D262" s="14">
        <v>2</v>
      </c>
      <c r="E262" t="s">
        <v>18</v>
      </c>
      <c r="F262">
        <v>3</v>
      </c>
      <c r="G262">
        <v>1</v>
      </c>
      <c r="H262">
        <v>6</v>
      </c>
      <c r="I262">
        <v>2</v>
      </c>
      <c r="J262">
        <f>38+42+27</f>
        <v>107</v>
      </c>
      <c r="K262">
        <f>42+22+42</f>
        <v>106</v>
      </c>
      <c r="L262" t="s">
        <v>14</v>
      </c>
    </row>
    <row r="263" spans="1:12" x14ac:dyDescent="0.25">
      <c r="A263" t="s">
        <v>22</v>
      </c>
      <c r="B263" s="12">
        <v>45753</v>
      </c>
      <c r="C263" t="s">
        <v>103</v>
      </c>
      <c r="D263" s="14">
        <v>2</v>
      </c>
      <c r="E263" t="s">
        <v>18</v>
      </c>
      <c r="F263">
        <v>3</v>
      </c>
      <c r="G263">
        <v>2</v>
      </c>
      <c r="H263">
        <v>7</v>
      </c>
      <c r="I263">
        <v>4</v>
      </c>
      <c r="J263">
        <f>42+58+27</f>
        <v>127</v>
      </c>
      <c r="K263">
        <f>7+54+42</f>
        <v>103</v>
      </c>
      <c r="L263" t="s">
        <v>14</v>
      </c>
    </row>
    <row r="264" spans="1:12" x14ac:dyDescent="0.25">
      <c r="A264" t="s">
        <v>22</v>
      </c>
      <c r="B264" s="12">
        <v>45753</v>
      </c>
      <c r="C264" t="s">
        <v>69</v>
      </c>
      <c r="D264" s="14">
        <v>4</v>
      </c>
      <c r="E264" t="s">
        <v>18</v>
      </c>
      <c r="F264">
        <v>3</v>
      </c>
      <c r="G264">
        <v>3</v>
      </c>
      <c r="H264">
        <v>6</v>
      </c>
      <c r="I264">
        <v>6</v>
      </c>
      <c r="J264">
        <f>42+42+42</f>
        <v>126</v>
      </c>
      <c r="K264">
        <f>7+22+8</f>
        <v>37</v>
      </c>
      <c r="L264" t="s">
        <v>14</v>
      </c>
    </row>
    <row r="265" spans="1:12" x14ac:dyDescent="0.25">
      <c r="A265" t="s">
        <v>22</v>
      </c>
      <c r="B265" s="12">
        <v>45753</v>
      </c>
      <c r="C265" t="s">
        <v>48</v>
      </c>
      <c r="D265" s="14">
        <v>-10</v>
      </c>
      <c r="E265" t="s">
        <v>14</v>
      </c>
      <c r="F265">
        <v>3</v>
      </c>
      <c r="G265">
        <v>1</v>
      </c>
      <c r="H265">
        <v>7</v>
      </c>
      <c r="I265">
        <v>3</v>
      </c>
      <c r="J265">
        <f>42+54+8</f>
        <v>104</v>
      </c>
      <c r="K265">
        <f>38+58+42</f>
        <v>138</v>
      </c>
      <c r="L265" t="s">
        <v>18</v>
      </c>
    </row>
    <row r="266" spans="1:12" x14ac:dyDescent="0.25">
      <c r="A266" t="s">
        <v>22</v>
      </c>
      <c r="B266" s="12">
        <v>45753</v>
      </c>
      <c r="C266" t="s">
        <v>51</v>
      </c>
      <c r="D266" s="14">
        <v>-8</v>
      </c>
      <c r="E266" t="s">
        <v>14</v>
      </c>
      <c r="F266">
        <v>3</v>
      </c>
      <c r="G266">
        <v>2</v>
      </c>
      <c r="H266">
        <v>6</v>
      </c>
      <c r="I266">
        <v>4</v>
      </c>
      <c r="J266">
        <f>42+22+42</f>
        <v>106</v>
      </c>
      <c r="K266">
        <f>38+42+27</f>
        <v>107</v>
      </c>
      <c r="L266" t="s">
        <v>18</v>
      </c>
    </row>
    <row r="267" spans="1:12" x14ac:dyDescent="0.25">
      <c r="A267" t="s">
        <v>22</v>
      </c>
      <c r="B267" s="12">
        <v>45753</v>
      </c>
      <c r="C267" t="s">
        <v>47</v>
      </c>
      <c r="D267" s="14">
        <v>-8</v>
      </c>
      <c r="E267" t="s">
        <v>14</v>
      </c>
      <c r="F267">
        <v>3</v>
      </c>
      <c r="G267">
        <v>1</v>
      </c>
      <c r="H267">
        <v>7</v>
      </c>
      <c r="I267">
        <v>3</v>
      </c>
      <c r="J267">
        <f>7+54+42</f>
        <v>103</v>
      </c>
      <c r="K267">
        <f>42+58+27</f>
        <v>127</v>
      </c>
      <c r="L267" t="s">
        <v>18</v>
      </c>
    </row>
    <row r="268" spans="1:12" x14ac:dyDescent="0.25">
      <c r="A268" t="s">
        <v>22</v>
      </c>
      <c r="B268" s="12">
        <v>45753</v>
      </c>
      <c r="C268" t="s">
        <v>114</v>
      </c>
      <c r="D268" s="14">
        <v>-2</v>
      </c>
      <c r="E268" t="s">
        <v>14</v>
      </c>
      <c r="F268">
        <v>3</v>
      </c>
      <c r="G268">
        <v>0</v>
      </c>
      <c r="H268">
        <v>6</v>
      </c>
      <c r="I268">
        <v>0</v>
      </c>
      <c r="J268">
        <f>7+22+8</f>
        <v>37</v>
      </c>
      <c r="K268">
        <f>42+42+42</f>
        <v>126</v>
      </c>
      <c r="L268" t="s">
        <v>18</v>
      </c>
    </row>
    <row r="269" spans="1:12" x14ac:dyDescent="0.25">
      <c r="A269" t="s">
        <v>22</v>
      </c>
      <c r="B269" s="12">
        <v>45763</v>
      </c>
      <c r="C269" t="s">
        <v>42</v>
      </c>
      <c r="D269" s="14">
        <v>4</v>
      </c>
      <c r="E269" t="s">
        <v>13</v>
      </c>
      <c r="F269">
        <v>3</v>
      </c>
      <c r="G269">
        <v>2</v>
      </c>
      <c r="H269">
        <v>8</v>
      </c>
      <c r="I269">
        <v>5</v>
      </c>
      <c r="J269">
        <f>62+58+42</f>
        <v>162</v>
      </c>
      <c r="K269">
        <f>58+61+32</f>
        <v>151</v>
      </c>
      <c r="L269" t="s">
        <v>10</v>
      </c>
    </row>
    <row r="270" spans="1:12" x14ac:dyDescent="0.25">
      <c r="A270" t="s">
        <v>22</v>
      </c>
      <c r="B270" s="12">
        <v>45763</v>
      </c>
      <c r="C270" t="s">
        <v>108</v>
      </c>
      <c r="D270" s="14">
        <v>8</v>
      </c>
      <c r="E270" t="s">
        <v>13</v>
      </c>
      <c r="F270">
        <v>3</v>
      </c>
      <c r="G270">
        <v>2</v>
      </c>
      <c r="H270">
        <v>7</v>
      </c>
      <c r="I270">
        <v>4</v>
      </c>
      <c r="J270">
        <f>62+42+35</f>
        <v>139</v>
      </c>
      <c r="K270">
        <f>58+38+42</f>
        <v>138</v>
      </c>
      <c r="L270" t="s">
        <v>10</v>
      </c>
    </row>
    <row r="271" spans="1:12" x14ac:dyDescent="0.25">
      <c r="A271" t="s">
        <v>22</v>
      </c>
      <c r="B271" s="12">
        <v>45763</v>
      </c>
      <c r="C271" t="s">
        <v>184</v>
      </c>
      <c r="D271" s="14">
        <v>8</v>
      </c>
      <c r="E271" t="s">
        <v>13</v>
      </c>
      <c r="F271">
        <v>3</v>
      </c>
      <c r="G271">
        <v>1</v>
      </c>
      <c r="H271">
        <v>8</v>
      </c>
      <c r="I271">
        <v>3</v>
      </c>
      <c r="J271">
        <f>56+58+35</f>
        <v>149</v>
      </c>
      <c r="K271">
        <f>50+61+42</f>
        <v>153</v>
      </c>
      <c r="L271" t="s">
        <v>10</v>
      </c>
    </row>
    <row r="272" spans="1:12" x14ac:dyDescent="0.25">
      <c r="A272" t="s">
        <v>22</v>
      </c>
      <c r="B272" s="12">
        <v>45763</v>
      </c>
      <c r="C272" t="s">
        <v>167</v>
      </c>
      <c r="D272" s="14">
        <v>10</v>
      </c>
      <c r="E272" t="s">
        <v>13</v>
      </c>
      <c r="F272">
        <v>3</v>
      </c>
      <c r="G272">
        <v>3</v>
      </c>
      <c r="H272">
        <v>7</v>
      </c>
      <c r="I272">
        <v>6</v>
      </c>
      <c r="J272">
        <f>56+42+42</f>
        <v>140</v>
      </c>
      <c r="K272">
        <f>50+38+32</f>
        <v>120</v>
      </c>
      <c r="L272" t="s">
        <v>10</v>
      </c>
    </row>
    <row r="273" spans="1:12" x14ac:dyDescent="0.25">
      <c r="A273" t="s">
        <v>22</v>
      </c>
      <c r="B273" s="12">
        <v>45763</v>
      </c>
      <c r="C273" t="s">
        <v>57</v>
      </c>
      <c r="D273" s="14">
        <v>-2</v>
      </c>
      <c r="E273" t="s">
        <v>10</v>
      </c>
      <c r="F273">
        <v>3</v>
      </c>
      <c r="G273">
        <v>1</v>
      </c>
      <c r="H273">
        <v>8</v>
      </c>
      <c r="I273">
        <v>3</v>
      </c>
      <c r="J273">
        <f>58+61+32</f>
        <v>151</v>
      </c>
      <c r="K273">
        <f>62+58+42</f>
        <v>162</v>
      </c>
      <c r="L273" t="s">
        <v>13</v>
      </c>
    </row>
    <row r="274" spans="1:12" x14ac:dyDescent="0.25">
      <c r="A274" t="s">
        <v>22</v>
      </c>
      <c r="B274" s="12">
        <v>45763</v>
      </c>
      <c r="C274" t="s">
        <v>58</v>
      </c>
      <c r="D274" s="14">
        <v>2</v>
      </c>
      <c r="E274" t="s">
        <v>10</v>
      </c>
      <c r="F274">
        <v>3</v>
      </c>
      <c r="G274">
        <v>1</v>
      </c>
      <c r="H274">
        <v>7</v>
      </c>
      <c r="I274">
        <v>3</v>
      </c>
      <c r="J274">
        <f>58+38+42</f>
        <v>138</v>
      </c>
      <c r="K274">
        <f>62+42+35</f>
        <v>139</v>
      </c>
      <c r="L274" t="s">
        <v>13</v>
      </c>
    </row>
    <row r="275" spans="1:12" x14ac:dyDescent="0.25">
      <c r="A275" t="s">
        <v>22</v>
      </c>
      <c r="B275" s="12">
        <v>45763</v>
      </c>
      <c r="C275" t="s">
        <v>37</v>
      </c>
      <c r="D275" s="14">
        <v>2</v>
      </c>
      <c r="E275" t="s">
        <v>10</v>
      </c>
      <c r="F275">
        <v>3</v>
      </c>
      <c r="G275">
        <v>2</v>
      </c>
      <c r="H275">
        <v>8</v>
      </c>
      <c r="I275">
        <v>5</v>
      </c>
      <c r="J275">
        <f>50+61+42</f>
        <v>153</v>
      </c>
      <c r="K275">
        <f>56+58+35</f>
        <v>149</v>
      </c>
      <c r="L275" t="s">
        <v>13</v>
      </c>
    </row>
    <row r="276" spans="1:12" x14ac:dyDescent="0.25">
      <c r="A276" t="s">
        <v>22</v>
      </c>
      <c r="B276" s="12">
        <v>45763</v>
      </c>
      <c r="C276" t="s">
        <v>38</v>
      </c>
      <c r="D276" s="14">
        <v>6</v>
      </c>
      <c r="E276" t="s">
        <v>10</v>
      </c>
      <c r="F276">
        <v>3</v>
      </c>
      <c r="G276">
        <v>0</v>
      </c>
      <c r="H276">
        <v>7</v>
      </c>
      <c r="I276">
        <v>1</v>
      </c>
      <c r="J276">
        <f>50+38+32</f>
        <v>120</v>
      </c>
      <c r="K276">
        <f>56+42+42</f>
        <v>140</v>
      </c>
      <c r="L276" t="s">
        <v>13</v>
      </c>
    </row>
    <row r="278" spans="1:12" x14ac:dyDescent="0.25">
      <c r="A278" s="13" t="s">
        <v>44</v>
      </c>
      <c r="B278" s="13"/>
      <c r="C278" s="13"/>
      <c r="D278" s="13"/>
      <c r="E278" s="13"/>
      <c r="F278" s="13">
        <f t="shared" ref="F278:K278" si="0">SUM(F5:F276)</f>
        <v>816</v>
      </c>
      <c r="G278" s="13">
        <f t="shared" si="0"/>
        <v>408</v>
      </c>
      <c r="H278" s="13">
        <f t="shared" si="0"/>
        <v>1952</v>
      </c>
      <c r="I278" s="13">
        <f t="shared" si="0"/>
        <v>976</v>
      </c>
      <c r="J278" s="13">
        <f t="shared" si="0"/>
        <v>36276</v>
      </c>
      <c r="K278" s="13">
        <f t="shared" si="0"/>
        <v>36276</v>
      </c>
    </row>
    <row r="279" spans="1:12" x14ac:dyDescent="0.25">
      <c r="G279">
        <f>+F278/2-G278</f>
        <v>0</v>
      </c>
      <c r="I279">
        <f>+H278/2-I278</f>
        <v>0</v>
      </c>
      <c r="K279">
        <f>+J278-K278</f>
        <v>0</v>
      </c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ignoredErrors>
    <ignoredError sqref="K2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FB2E-367F-4C15-AABE-F375157837E3}">
  <sheetPr>
    <pageSetUpPr fitToPage="1"/>
  </sheetPr>
  <dimension ref="A1:L64"/>
  <sheetViews>
    <sheetView workbookViewId="0">
      <pane ySplit="4" topLeftCell="A38" activePane="bottomLeft" state="frozen"/>
      <selection pane="bottomLeft" activeCell="E129" sqref="E129"/>
    </sheetView>
  </sheetViews>
  <sheetFormatPr defaultRowHeight="15" x14ac:dyDescent="0.25"/>
  <cols>
    <col min="3" max="3" width="16.5703125" bestFit="1" customWidth="1"/>
    <col min="5" max="5" width="9.5703125" bestFit="1" customWidth="1"/>
    <col min="12" max="12" width="10.140625" bestFit="1" customWidth="1"/>
  </cols>
  <sheetData>
    <row r="1" spans="1:12" x14ac:dyDescent="0.25">
      <c r="A1" s="33" t="s">
        <v>152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6" spans="1:12" x14ac:dyDescent="0.25">
      <c r="A6" t="s">
        <v>111</v>
      </c>
      <c r="B6" s="12">
        <v>45603</v>
      </c>
      <c r="C6" t="s">
        <v>34</v>
      </c>
      <c r="D6">
        <v>-4</v>
      </c>
      <c r="E6" t="s">
        <v>10</v>
      </c>
      <c r="F6">
        <v>3</v>
      </c>
      <c r="G6">
        <v>1</v>
      </c>
      <c r="H6">
        <v>7</v>
      </c>
      <c r="I6">
        <v>3</v>
      </c>
      <c r="J6">
        <f>46+21+42</f>
        <v>109</v>
      </c>
      <c r="K6">
        <f>54+42+38</f>
        <v>134</v>
      </c>
      <c r="L6" t="s">
        <v>18</v>
      </c>
    </row>
    <row r="7" spans="1:12" x14ac:dyDescent="0.25">
      <c r="A7" t="s">
        <v>111</v>
      </c>
      <c r="B7" s="12">
        <v>45603</v>
      </c>
      <c r="C7" t="s">
        <v>123</v>
      </c>
      <c r="D7">
        <v>-2</v>
      </c>
      <c r="E7" t="s">
        <v>10</v>
      </c>
      <c r="F7">
        <v>3</v>
      </c>
      <c r="G7">
        <v>1</v>
      </c>
      <c r="H7">
        <v>7</v>
      </c>
      <c r="I7">
        <v>3</v>
      </c>
      <c r="J7">
        <f>46+42+28</f>
        <v>116</v>
      </c>
      <c r="K7">
        <f>54+31+42</f>
        <v>127</v>
      </c>
      <c r="L7" t="s">
        <v>18</v>
      </c>
    </row>
    <row r="8" spans="1:12" x14ac:dyDescent="0.25">
      <c r="A8" t="s">
        <v>111</v>
      </c>
      <c r="B8" s="12">
        <v>45603</v>
      </c>
      <c r="C8" t="s">
        <v>37</v>
      </c>
      <c r="D8">
        <v>2</v>
      </c>
      <c r="E8" t="s">
        <v>10</v>
      </c>
      <c r="F8">
        <v>3</v>
      </c>
      <c r="G8">
        <v>1</v>
      </c>
      <c r="H8">
        <v>7</v>
      </c>
      <c r="I8">
        <v>2</v>
      </c>
      <c r="J8">
        <f>57+21+28</f>
        <v>106</v>
      </c>
      <c r="K8">
        <f>52+42+42</f>
        <v>136</v>
      </c>
      <c r="L8" t="s">
        <v>18</v>
      </c>
    </row>
    <row r="9" spans="1:12" x14ac:dyDescent="0.25">
      <c r="A9" t="s">
        <v>111</v>
      </c>
      <c r="B9" s="12">
        <v>45603</v>
      </c>
      <c r="C9" t="s">
        <v>38</v>
      </c>
      <c r="D9">
        <v>6</v>
      </c>
      <c r="E9" t="s">
        <v>10</v>
      </c>
      <c r="F9">
        <v>3</v>
      </c>
      <c r="G9">
        <v>3</v>
      </c>
      <c r="H9">
        <v>7</v>
      </c>
      <c r="I9">
        <v>6</v>
      </c>
      <c r="J9">
        <f>57+42+42</f>
        <v>141</v>
      </c>
      <c r="K9">
        <f>52+31+38</f>
        <v>121</v>
      </c>
      <c r="L9" t="s">
        <v>18</v>
      </c>
    </row>
    <row r="10" spans="1:12" x14ac:dyDescent="0.25">
      <c r="A10" t="s">
        <v>111</v>
      </c>
      <c r="B10" s="12">
        <v>45603</v>
      </c>
      <c r="C10" t="s">
        <v>67</v>
      </c>
      <c r="D10">
        <v>0</v>
      </c>
      <c r="E10" t="s">
        <v>18</v>
      </c>
      <c r="F10">
        <v>3</v>
      </c>
      <c r="G10">
        <v>2</v>
      </c>
      <c r="H10">
        <v>7</v>
      </c>
      <c r="I10">
        <v>4</v>
      </c>
      <c r="J10">
        <f>54+42+38</f>
        <v>134</v>
      </c>
      <c r="K10">
        <f>46+21+42</f>
        <v>109</v>
      </c>
      <c r="L10" t="s">
        <v>10</v>
      </c>
    </row>
    <row r="11" spans="1:12" x14ac:dyDescent="0.25">
      <c r="A11" t="s">
        <v>111</v>
      </c>
      <c r="B11" s="12">
        <v>45603</v>
      </c>
      <c r="C11" t="s">
        <v>68</v>
      </c>
      <c r="D11">
        <v>2</v>
      </c>
      <c r="E11" t="s">
        <v>18</v>
      </c>
      <c r="F11">
        <v>3</v>
      </c>
      <c r="G11">
        <v>2</v>
      </c>
      <c r="H11">
        <v>7</v>
      </c>
      <c r="I11">
        <v>4</v>
      </c>
      <c r="J11">
        <f>54+31+42</f>
        <v>127</v>
      </c>
      <c r="K11">
        <f>46+42+28</f>
        <v>116</v>
      </c>
      <c r="L11" t="s">
        <v>10</v>
      </c>
    </row>
    <row r="12" spans="1:12" x14ac:dyDescent="0.25">
      <c r="A12" t="s">
        <v>111</v>
      </c>
      <c r="B12" s="12">
        <v>45603</v>
      </c>
      <c r="C12" t="s">
        <v>124</v>
      </c>
      <c r="D12">
        <v>-12</v>
      </c>
      <c r="E12" t="s">
        <v>18</v>
      </c>
      <c r="F12">
        <v>3</v>
      </c>
      <c r="G12">
        <v>2</v>
      </c>
      <c r="H12">
        <v>7</v>
      </c>
      <c r="I12">
        <v>5</v>
      </c>
      <c r="J12">
        <f>52+42+42</f>
        <v>136</v>
      </c>
      <c r="K12">
        <f>57+21+28</f>
        <v>106</v>
      </c>
      <c r="L12" t="s">
        <v>10</v>
      </c>
    </row>
    <row r="13" spans="1:12" x14ac:dyDescent="0.25">
      <c r="A13" t="s">
        <v>111</v>
      </c>
      <c r="B13" s="12">
        <v>45603</v>
      </c>
      <c r="C13" t="s">
        <v>102</v>
      </c>
      <c r="D13">
        <v>2</v>
      </c>
      <c r="E13" t="s">
        <v>18</v>
      </c>
      <c r="F13">
        <v>3</v>
      </c>
      <c r="G13">
        <v>0</v>
      </c>
      <c r="H13">
        <v>7</v>
      </c>
      <c r="I13">
        <v>1</v>
      </c>
      <c r="J13">
        <f>52+31+38</f>
        <v>121</v>
      </c>
      <c r="K13">
        <f>57+42+42</f>
        <v>141</v>
      </c>
      <c r="L13" t="s">
        <v>10</v>
      </c>
    </row>
    <row r="14" spans="1:12" x14ac:dyDescent="0.25">
      <c r="A14" t="s">
        <v>111</v>
      </c>
      <c r="B14" s="12">
        <v>45625</v>
      </c>
      <c r="C14" t="s">
        <v>138</v>
      </c>
      <c r="D14">
        <v>-6</v>
      </c>
      <c r="E14" t="s">
        <v>140</v>
      </c>
      <c r="F14">
        <v>3</v>
      </c>
      <c r="G14">
        <v>2</v>
      </c>
      <c r="H14">
        <v>7</v>
      </c>
      <c r="I14">
        <v>4</v>
      </c>
      <c r="J14">
        <f>42+57+35</f>
        <v>134</v>
      </c>
      <c r="K14">
        <f>26+54+42</f>
        <v>122</v>
      </c>
      <c r="L14" t="s">
        <v>18</v>
      </c>
    </row>
    <row r="15" spans="1:12" x14ac:dyDescent="0.25">
      <c r="A15" t="s">
        <v>111</v>
      </c>
      <c r="B15" s="12">
        <v>45625</v>
      </c>
      <c r="C15" t="s">
        <v>49</v>
      </c>
      <c r="D15">
        <v>2</v>
      </c>
      <c r="E15" t="s">
        <v>140</v>
      </c>
      <c r="F15">
        <v>3</v>
      </c>
      <c r="G15">
        <v>1</v>
      </c>
      <c r="H15">
        <v>6</v>
      </c>
      <c r="I15">
        <v>2</v>
      </c>
      <c r="J15">
        <f>42+34+33</f>
        <v>109</v>
      </c>
      <c r="K15">
        <f>26+42+42</f>
        <v>110</v>
      </c>
      <c r="L15" t="s">
        <v>18</v>
      </c>
    </row>
    <row r="16" spans="1:12" x14ac:dyDescent="0.25">
      <c r="A16" t="s">
        <v>111</v>
      </c>
      <c r="B16" s="12">
        <v>45625</v>
      </c>
      <c r="C16" t="s">
        <v>114</v>
      </c>
      <c r="D16">
        <v>-2</v>
      </c>
      <c r="E16" t="s">
        <v>140</v>
      </c>
      <c r="F16">
        <v>3</v>
      </c>
      <c r="G16">
        <v>1</v>
      </c>
      <c r="H16">
        <v>8</v>
      </c>
      <c r="I16">
        <v>3</v>
      </c>
      <c r="J16">
        <f>60+57+33</f>
        <v>150</v>
      </c>
      <c r="K16">
        <f>55+54+42</f>
        <v>151</v>
      </c>
      <c r="L16" t="s">
        <v>18</v>
      </c>
    </row>
    <row r="17" spans="1:12" x14ac:dyDescent="0.25">
      <c r="A17" t="s">
        <v>111</v>
      </c>
      <c r="B17" s="12">
        <v>45625</v>
      </c>
      <c r="C17" t="s">
        <v>52</v>
      </c>
      <c r="D17">
        <v>8</v>
      </c>
      <c r="E17" t="s">
        <v>140</v>
      </c>
      <c r="F17">
        <v>3</v>
      </c>
      <c r="G17">
        <v>0</v>
      </c>
      <c r="H17">
        <v>7</v>
      </c>
      <c r="I17">
        <v>1</v>
      </c>
      <c r="J17">
        <f>60+34+35</f>
        <v>129</v>
      </c>
      <c r="K17">
        <f>55+42+42</f>
        <v>139</v>
      </c>
      <c r="L17" t="s">
        <v>18</v>
      </c>
    </row>
    <row r="18" spans="1:12" x14ac:dyDescent="0.25">
      <c r="A18" t="s">
        <v>111</v>
      </c>
      <c r="B18" s="12">
        <v>45625</v>
      </c>
      <c r="C18" t="s">
        <v>67</v>
      </c>
      <c r="D18">
        <v>0</v>
      </c>
      <c r="E18" t="s">
        <v>18</v>
      </c>
      <c r="F18">
        <v>3</v>
      </c>
      <c r="G18">
        <v>1</v>
      </c>
      <c r="H18">
        <v>7</v>
      </c>
      <c r="I18">
        <v>3</v>
      </c>
      <c r="J18">
        <f>26+54+42</f>
        <v>122</v>
      </c>
      <c r="K18">
        <f>42+57+35</f>
        <v>134</v>
      </c>
      <c r="L18" t="s">
        <v>140</v>
      </c>
    </row>
    <row r="19" spans="1:12" x14ac:dyDescent="0.25">
      <c r="A19" t="s">
        <v>111</v>
      </c>
      <c r="B19" s="12">
        <v>45625</v>
      </c>
      <c r="C19" t="s">
        <v>105</v>
      </c>
      <c r="D19">
        <v>4</v>
      </c>
      <c r="E19" t="s">
        <v>18</v>
      </c>
      <c r="F19">
        <v>3</v>
      </c>
      <c r="G19">
        <v>2</v>
      </c>
      <c r="H19">
        <v>6</v>
      </c>
      <c r="I19">
        <v>4</v>
      </c>
      <c r="J19">
        <f>26+42+42</f>
        <v>110</v>
      </c>
      <c r="K19">
        <f>42+34+33</f>
        <v>109</v>
      </c>
      <c r="L19" t="s">
        <v>140</v>
      </c>
    </row>
    <row r="20" spans="1:12" x14ac:dyDescent="0.25">
      <c r="A20" t="s">
        <v>111</v>
      </c>
      <c r="B20" s="12">
        <v>45625</v>
      </c>
      <c r="C20" t="s">
        <v>101</v>
      </c>
      <c r="D20">
        <v>-12</v>
      </c>
      <c r="E20" t="s">
        <v>18</v>
      </c>
      <c r="F20">
        <v>3</v>
      </c>
      <c r="G20">
        <v>2</v>
      </c>
      <c r="H20">
        <v>8</v>
      </c>
      <c r="I20">
        <v>5</v>
      </c>
      <c r="J20">
        <f>55+54+42</f>
        <v>151</v>
      </c>
      <c r="K20">
        <f>60+57+33</f>
        <v>150</v>
      </c>
      <c r="L20" t="s">
        <v>140</v>
      </c>
    </row>
    <row r="21" spans="1:12" x14ac:dyDescent="0.25">
      <c r="A21" t="s">
        <v>111</v>
      </c>
      <c r="B21" s="12">
        <v>45625</v>
      </c>
      <c r="C21" t="s">
        <v>139</v>
      </c>
      <c r="D21">
        <v>-10</v>
      </c>
      <c r="E21" t="s">
        <v>18</v>
      </c>
      <c r="F21">
        <v>3</v>
      </c>
      <c r="G21">
        <v>3</v>
      </c>
      <c r="H21">
        <v>7</v>
      </c>
      <c r="I21">
        <v>6</v>
      </c>
      <c r="J21">
        <f>55+42+42</f>
        <v>139</v>
      </c>
      <c r="K21">
        <f>60+34+35</f>
        <v>129</v>
      </c>
      <c r="L21" t="s">
        <v>140</v>
      </c>
    </row>
    <row r="22" spans="1:12" x14ac:dyDescent="0.25">
      <c r="A22" t="s">
        <v>111</v>
      </c>
      <c r="B22" s="12">
        <v>45635</v>
      </c>
      <c r="C22" t="s">
        <v>101</v>
      </c>
      <c r="D22">
        <v>-12</v>
      </c>
      <c r="E22" t="s">
        <v>18</v>
      </c>
      <c r="F22">
        <v>3</v>
      </c>
      <c r="G22">
        <v>2</v>
      </c>
      <c r="H22">
        <v>7</v>
      </c>
      <c r="I22">
        <v>5</v>
      </c>
      <c r="J22">
        <f>42+42+50</f>
        <v>134</v>
      </c>
      <c r="K22">
        <f>30+34+58</f>
        <v>122</v>
      </c>
      <c r="L22" t="s">
        <v>140</v>
      </c>
    </row>
    <row r="23" spans="1:12" x14ac:dyDescent="0.25">
      <c r="A23" t="s">
        <v>111</v>
      </c>
      <c r="B23" s="12">
        <v>45635</v>
      </c>
      <c r="C23" t="s">
        <v>139</v>
      </c>
      <c r="D23">
        <v>-10</v>
      </c>
      <c r="E23" t="s">
        <v>18</v>
      </c>
      <c r="F23">
        <v>3</v>
      </c>
      <c r="G23">
        <v>3</v>
      </c>
      <c r="H23">
        <v>7</v>
      </c>
      <c r="I23">
        <v>6</v>
      </c>
      <c r="J23">
        <f>42+42+60</f>
        <v>144</v>
      </c>
      <c r="K23">
        <f>30+28+47</f>
        <v>105</v>
      </c>
      <c r="L23" t="s">
        <v>140</v>
      </c>
    </row>
    <row r="24" spans="1:12" x14ac:dyDescent="0.25">
      <c r="A24" t="s">
        <v>111</v>
      </c>
      <c r="B24" s="12">
        <v>45635</v>
      </c>
      <c r="C24" t="s">
        <v>67</v>
      </c>
      <c r="D24">
        <v>0</v>
      </c>
      <c r="E24" t="s">
        <v>18</v>
      </c>
      <c r="F24">
        <v>3</v>
      </c>
      <c r="G24">
        <v>2</v>
      </c>
      <c r="H24">
        <v>7</v>
      </c>
      <c r="I24">
        <v>4</v>
      </c>
      <c r="J24">
        <f>23+42+60</f>
        <v>125</v>
      </c>
      <c r="K24">
        <f>42+34+47</f>
        <v>123</v>
      </c>
      <c r="L24" t="s">
        <v>140</v>
      </c>
    </row>
    <row r="25" spans="1:12" x14ac:dyDescent="0.25">
      <c r="A25" t="s">
        <v>111</v>
      </c>
      <c r="B25" s="12">
        <v>45635</v>
      </c>
      <c r="C25" t="s">
        <v>105</v>
      </c>
      <c r="D25">
        <v>4</v>
      </c>
      <c r="E25" t="s">
        <v>18</v>
      </c>
      <c r="F25">
        <v>3</v>
      </c>
      <c r="G25">
        <v>1</v>
      </c>
      <c r="H25">
        <v>7</v>
      </c>
      <c r="I25">
        <v>3</v>
      </c>
      <c r="J25">
        <f>23+42+50</f>
        <v>115</v>
      </c>
      <c r="K25">
        <f>42+28+58</f>
        <v>128</v>
      </c>
      <c r="L25" t="s">
        <v>140</v>
      </c>
    </row>
    <row r="26" spans="1:12" x14ac:dyDescent="0.25">
      <c r="A26" t="s">
        <v>111</v>
      </c>
      <c r="B26" s="12">
        <v>45635</v>
      </c>
      <c r="C26" t="s">
        <v>63</v>
      </c>
      <c r="D26">
        <v>-4</v>
      </c>
      <c r="E26" t="s">
        <v>140</v>
      </c>
      <c r="F26">
        <v>3</v>
      </c>
      <c r="G26">
        <v>1</v>
      </c>
      <c r="H26">
        <v>7</v>
      </c>
      <c r="I26">
        <v>2</v>
      </c>
      <c r="J26">
        <f>30+34+58</f>
        <v>122</v>
      </c>
      <c r="K26">
        <f>42+42+50</f>
        <v>134</v>
      </c>
      <c r="L26" t="s">
        <v>18</v>
      </c>
    </row>
    <row r="27" spans="1:12" x14ac:dyDescent="0.25">
      <c r="A27" t="s">
        <v>111</v>
      </c>
      <c r="B27" s="12">
        <v>45635</v>
      </c>
      <c r="C27" t="s">
        <v>114</v>
      </c>
      <c r="D27">
        <v>-2</v>
      </c>
      <c r="E27" t="s">
        <v>140</v>
      </c>
      <c r="F27">
        <v>3</v>
      </c>
      <c r="G27">
        <v>0</v>
      </c>
      <c r="H27">
        <v>7</v>
      </c>
      <c r="I27">
        <v>1</v>
      </c>
      <c r="J27">
        <f>30+28+47</f>
        <v>105</v>
      </c>
      <c r="K27">
        <f>42+42+60</f>
        <v>144</v>
      </c>
      <c r="L27" t="s">
        <v>18</v>
      </c>
    </row>
    <row r="28" spans="1:12" x14ac:dyDescent="0.25">
      <c r="A28" t="s">
        <v>111</v>
      </c>
      <c r="B28" s="12">
        <v>45635</v>
      </c>
      <c r="C28" t="s">
        <v>138</v>
      </c>
      <c r="D28">
        <v>-6</v>
      </c>
      <c r="E28" t="s">
        <v>140</v>
      </c>
      <c r="F28">
        <v>3</v>
      </c>
      <c r="G28">
        <v>1</v>
      </c>
      <c r="H28">
        <v>7</v>
      </c>
      <c r="I28">
        <v>3</v>
      </c>
      <c r="J28">
        <f>42+34+47</f>
        <v>123</v>
      </c>
      <c r="K28">
        <f>23+42+60</f>
        <v>125</v>
      </c>
      <c r="L28" t="s">
        <v>18</v>
      </c>
    </row>
    <row r="29" spans="1:12" x14ac:dyDescent="0.25">
      <c r="A29" t="s">
        <v>111</v>
      </c>
      <c r="B29" s="12">
        <v>45635</v>
      </c>
      <c r="C29" t="s">
        <v>127</v>
      </c>
      <c r="D29">
        <v>2</v>
      </c>
      <c r="E29" t="s">
        <v>140</v>
      </c>
      <c r="F29">
        <v>3</v>
      </c>
      <c r="G29">
        <v>2</v>
      </c>
      <c r="H29">
        <v>7</v>
      </c>
      <c r="I29">
        <v>4</v>
      </c>
      <c r="J29">
        <f>42+28+58</f>
        <v>128</v>
      </c>
      <c r="K29">
        <f>23+42+50</f>
        <v>115</v>
      </c>
      <c r="L29" t="s">
        <v>18</v>
      </c>
    </row>
    <row r="30" spans="1:12" x14ac:dyDescent="0.25">
      <c r="A30" t="s">
        <v>111</v>
      </c>
      <c r="B30" s="12">
        <v>45698</v>
      </c>
      <c r="C30" t="s">
        <v>67</v>
      </c>
      <c r="D30">
        <v>0</v>
      </c>
      <c r="E30" t="s">
        <v>18</v>
      </c>
      <c r="F30">
        <v>3</v>
      </c>
      <c r="G30">
        <v>2</v>
      </c>
      <c r="H30">
        <v>6</v>
      </c>
      <c r="I30">
        <v>4</v>
      </c>
      <c r="J30">
        <f>42+33+42</f>
        <v>117</v>
      </c>
      <c r="K30">
        <f>34+42+26</f>
        <v>102</v>
      </c>
      <c r="L30" t="s">
        <v>10</v>
      </c>
    </row>
    <row r="31" spans="1:12" x14ac:dyDescent="0.25">
      <c r="A31" t="s">
        <v>111</v>
      </c>
      <c r="B31" s="12">
        <v>45698</v>
      </c>
      <c r="C31" t="s">
        <v>68</v>
      </c>
      <c r="D31">
        <v>2</v>
      </c>
      <c r="E31" t="s">
        <v>18</v>
      </c>
      <c r="F31">
        <v>3</v>
      </c>
      <c r="G31">
        <v>3</v>
      </c>
      <c r="H31">
        <v>7</v>
      </c>
      <c r="I31">
        <v>6</v>
      </c>
      <c r="J31">
        <f>42+42+58</f>
        <v>142</v>
      </c>
      <c r="K31">
        <f>34+27+47</f>
        <v>108</v>
      </c>
      <c r="L31" t="s">
        <v>10</v>
      </c>
    </row>
    <row r="32" spans="1:12" x14ac:dyDescent="0.25">
      <c r="A32" t="s">
        <v>111</v>
      </c>
      <c r="B32" s="12">
        <v>45698</v>
      </c>
      <c r="C32" t="s">
        <v>101</v>
      </c>
      <c r="D32">
        <v>-12</v>
      </c>
      <c r="E32" t="s">
        <v>18</v>
      </c>
      <c r="F32">
        <v>3</v>
      </c>
      <c r="G32">
        <v>2</v>
      </c>
      <c r="H32">
        <v>8</v>
      </c>
      <c r="I32">
        <v>4</v>
      </c>
      <c r="J32">
        <f>57+33+58</f>
        <v>148</v>
      </c>
      <c r="K32">
        <f>56+42+47</f>
        <v>145</v>
      </c>
      <c r="L32" t="s">
        <v>10</v>
      </c>
    </row>
    <row r="33" spans="1:12" x14ac:dyDescent="0.25">
      <c r="A33" t="s">
        <v>111</v>
      </c>
      <c r="B33" s="12">
        <v>45698</v>
      </c>
      <c r="C33" t="s">
        <v>139</v>
      </c>
      <c r="D33">
        <v>-10</v>
      </c>
      <c r="E33" t="s">
        <v>18</v>
      </c>
      <c r="F33">
        <v>3</v>
      </c>
      <c r="G33">
        <v>3</v>
      </c>
      <c r="H33">
        <v>7</v>
      </c>
      <c r="I33">
        <v>6</v>
      </c>
      <c r="J33">
        <f>57+42+42</f>
        <v>141</v>
      </c>
      <c r="K33">
        <f>56+27+26</f>
        <v>109</v>
      </c>
      <c r="L33" t="s">
        <v>10</v>
      </c>
    </row>
    <row r="34" spans="1:12" x14ac:dyDescent="0.25">
      <c r="A34" t="s">
        <v>111</v>
      </c>
      <c r="B34" s="12">
        <v>45698</v>
      </c>
      <c r="C34" t="s">
        <v>34</v>
      </c>
      <c r="D34">
        <v>-2</v>
      </c>
      <c r="E34" t="s">
        <v>10</v>
      </c>
      <c r="F34">
        <v>3</v>
      </c>
      <c r="G34">
        <v>1</v>
      </c>
      <c r="H34">
        <v>6</v>
      </c>
      <c r="I34">
        <v>2</v>
      </c>
      <c r="J34">
        <f>34+42+26</f>
        <v>102</v>
      </c>
      <c r="K34">
        <f>42+33+42</f>
        <v>117</v>
      </c>
      <c r="L34" t="s">
        <v>18</v>
      </c>
    </row>
    <row r="35" spans="1:12" x14ac:dyDescent="0.25">
      <c r="A35" t="s">
        <v>111</v>
      </c>
      <c r="B35" s="12">
        <v>45698</v>
      </c>
      <c r="C35" t="s">
        <v>123</v>
      </c>
      <c r="D35">
        <v>-2</v>
      </c>
      <c r="E35" t="s">
        <v>10</v>
      </c>
      <c r="F35">
        <v>3</v>
      </c>
      <c r="G35">
        <v>0</v>
      </c>
      <c r="H35">
        <v>7</v>
      </c>
      <c r="I35">
        <v>1</v>
      </c>
      <c r="J35">
        <f>34+27+47</f>
        <v>108</v>
      </c>
      <c r="K35">
        <f>42+42+58</f>
        <v>142</v>
      </c>
      <c r="L35" t="s">
        <v>18</v>
      </c>
    </row>
    <row r="36" spans="1:12" x14ac:dyDescent="0.25">
      <c r="A36" t="s">
        <v>111</v>
      </c>
      <c r="B36" s="12">
        <v>45698</v>
      </c>
      <c r="C36" t="s">
        <v>37</v>
      </c>
      <c r="D36">
        <v>2</v>
      </c>
      <c r="E36" t="s">
        <v>10</v>
      </c>
      <c r="F36">
        <v>3</v>
      </c>
      <c r="G36">
        <v>1</v>
      </c>
      <c r="H36">
        <v>8</v>
      </c>
      <c r="I36">
        <v>4</v>
      </c>
      <c r="J36">
        <f>56+42+47</f>
        <v>145</v>
      </c>
      <c r="K36">
        <f>57+33+58</f>
        <v>148</v>
      </c>
      <c r="L36" t="s">
        <v>18</v>
      </c>
    </row>
    <row r="37" spans="1:12" x14ac:dyDescent="0.25">
      <c r="A37" t="s">
        <v>111</v>
      </c>
      <c r="B37" s="12">
        <v>45698</v>
      </c>
      <c r="C37" t="s">
        <v>38</v>
      </c>
      <c r="D37">
        <v>6</v>
      </c>
      <c r="E37" t="s">
        <v>10</v>
      </c>
      <c r="F37">
        <v>3</v>
      </c>
      <c r="G37">
        <v>0</v>
      </c>
      <c r="H37">
        <v>7</v>
      </c>
      <c r="I37">
        <v>1</v>
      </c>
      <c r="J37">
        <f>56+27+26</f>
        <v>109</v>
      </c>
      <c r="K37">
        <f>57+42+42</f>
        <v>141</v>
      </c>
      <c r="L37" t="s">
        <v>18</v>
      </c>
    </row>
    <row r="38" spans="1:12" x14ac:dyDescent="0.25">
      <c r="A38" t="s">
        <v>111</v>
      </c>
      <c r="B38" s="12">
        <v>45712</v>
      </c>
      <c r="C38" t="s">
        <v>106</v>
      </c>
      <c r="D38">
        <v>0</v>
      </c>
      <c r="E38" t="s">
        <v>13</v>
      </c>
      <c r="F38">
        <v>3</v>
      </c>
      <c r="G38">
        <v>1</v>
      </c>
      <c r="H38">
        <v>7</v>
      </c>
      <c r="I38">
        <v>3</v>
      </c>
      <c r="J38">
        <f>42+29+53</f>
        <v>124</v>
      </c>
      <c r="K38">
        <f>22+42+57</f>
        <v>121</v>
      </c>
      <c r="L38" t="s">
        <v>140</v>
      </c>
    </row>
    <row r="39" spans="1:12" x14ac:dyDescent="0.25">
      <c r="A39" t="s">
        <v>111</v>
      </c>
      <c r="B39" s="12">
        <v>45712</v>
      </c>
      <c r="C39" t="s">
        <v>39</v>
      </c>
      <c r="D39">
        <v>4</v>
      </c>
      <c r="E39" t="s">
        <v>13</v>
      </c>
      <c r="F39">
        <v>3</v>
      </c>
      <c r="G39">
        <v>2</v>
      </c>
      <c r="H39">
        <v>7</v>
      </c>
      <c r="I39">
        <v>5</v>
      </c>
      <c r="J39">
        <f>42+51+42</f>
        <v>135</v>
      </c>
      <c r="K39">
        <f>22+59+28</f>
        <v>109</v>
      </c>
      <c r="L39" t="s">
        <v>140</v>
      </c>
    </row>
    <row r="40" spans="1:12" x14ac:dyDescent="0.25">
      <c r="A40" t="s">
        <v>111</v>
      </c>
      <c r="B40" s="12">
        <v>45712</v>
      </c>
      <c r="C40" t="s">
        <v>41</v>
      </c>
      <c r="D40">
        <v>2</v>
      </c>
      <c r="E40" t="s">
        <v>13</v>
      </c>
      <c r="F40">
        <v>3</v>
      </c>
      <c r="G40">
        <v>1</v>
      </c>
      <c r="H40">
        <v>6</v>
      </c>
      <c r="I40">
        <v>2</v>
      </c>
      <c r="J40">
        <f>37+29+42</f>
        <v>108</v>
      </c>
      <c r="K40">
        <f>42+42+28</f>
        <v>112</v>
      </c>
      <c r="L40" t="s">
        <v>140</v>
      </c>
    </row>
    <row r="41" spans="1:12" x14ac:dyDescent="0.25">
      <c r="A41" t="s">
        <v>111</v>
      </c>
      <c r="B41" s="12">
        <v>45712</v>
      </c>
      <c r="C41" t="s">
        <v>108</v>
      </c>
      <c r="D41">
        <v>4</v>
      </c>
      <c r="E41" t="s">
        <v>13</v>
      </c>
      <c r="F41">
        <v>3</v>
      </c>
      <c r="G41">
        <v>0</v>
      </c>
      <c r="H41">
        <v>8</v>
      </c>
      <c r="I41">
        <v>2</v>
      </c>
      <c r="J41">
        <f>37+51+53</f>
        <v>141</v>
      </c>
      <c r="K41">
        <f>42+59+57</f>
        <v>158</v>
      </c>
      <c r="L41" t="s">
        <v>140</v>
      </c>
    </row>
    <row r="42" spans="1:12" x14ac:dyDescent="0.25">
      <c r="A42" t="s">
        <v>111</v>
      </c>
      <c r="B42" s="12">
        <v>45712</v>
      </c>
      <c r="C42" t="s">
        <v>62</v>
      </c>
      <c r="D42">
        <v>2</v>
      </c>
      <c r="E42" t="s">
        <v>140</v>
      </c>
      <c r="F42">
        <v>3</v>
      </c>
      <c r="G42">
        <v>2</v>
      </c>
      <c r="H42">
        <v>7</v>
      </c>
      <c r="I42">
        <v>4</v>
      </c>
      <c r="J42">
        <f>22+42+57</f>
        <v>121</v>
      </c>
      <c r="K42">
        <f>42+29+53</f>
        <v>124</v>
      </c>
      <c r="L42" t="s">
        <v>13</v>
      </c>
    </row>
    <row r="43" spans="1:12" x14ac:dyDescent="0.25">
      <c r="A43" t="s">
        <v>111</v>
      </c>
      <c r="B43" s="12">
        <v>45712</v>
      </c>
      <c r="C43" t="s">
        <v>127</v>
      </c>
      <c r="D43">
        <v>2</v>
      </c>
      <c r="E43" t="s">
        <v>140</v>
      </c>
      <c r="F43">
        <v>3</v>
      </c>
      <c r="G43">
        <v>1</v>
      </c>
      <c r="H43">
        <v>7</v>
      </c>
      <c r="I43">
        <v>2</v>
      </c>
      <c r="J43">
        <f>22+59+28</f>
        <v>109</v>
      </c>
      <c r="K43">
        <f>42+51+42</f>
        <v>135</v>
      </c>
      <c r="L43" t="s">
        <v>13</v>
      </c>
    </row>
    <row r="44" spans="1:12" x14ac:dyDescent="0.25">
      <c r="A44" t="s">
        <v>111</v>
      </c>
      <c r="B44" s="12">
        <v>45712</v>
      </c>
      <c r="C44" t="s">
        <v>63</v>
      </c>
      <c r="D44">
        <v>-4</v>
      </c>
      <c r="E44" t="s">
        <v>140</v>
      </c>
      <c r="F44">
        <v>3</v>
      </c>
      <c r="G44">
        <v>2</v>
      </c>
      <c r="H44">
        <v>6</v>
      </c>
      <c r="I44">
        <v>4</v>
      </c>
      <c r="J44">
        <f>42+42+28</f>
        <v>112</v>
      </c>
      <c r="K44">
        <f>37+29+42</f>
        <v>108</v>
      </c>
      <c r="L44" t="s">
        <v>13</v>
      </c>
    </row>
    <row r="45" spans="1:12" x14ac:dyDescent="0.25">
      <c r="A45" t="s">
        <v>111</v>
      </c>
      <c r="B45" s="12">
        <v>45712</v>
      </c>
      <c r="C45" t="s">
        <v>114</v>
      </c>
      <c r="D45">
        <v>-2</v>
      </c>
      <c r="E45" t="s">
        <v>140</v>
      </c>
      <c r="F45">
        <v>3</v>
      </c>
      <c r="G45">
        <v>3</v>
      </c>
      <c r="H45">
        <v>8</v>
      </c>
      <c r="I45">
        <v>6</v>
      </c>
      <c r="J45">
        <f>42+59+57</f>
        <v>158</v>
      </c>
      <c r="K45">
        <f>37+51+53</f>
        <v>141</v>
      </c>
      <c r="L45" t="s">
        <v>13</v>
      </c>
    </row>
    <row r="46" spans="1:12" x14ac:dyDescent="0.25">
      <c r="A46" t="s">
        <v>111</v>
      </c>
      <c r="B46" s="12">
        <v>45736</v>
      </c>
      <c r="C46" t="s">
        <v>34</v>
      </c>
      <c r="D46">
        <v>-2</v>
      </c>
      <c r="E46" t="s">
        <v>10</v>
      </c>
      <c r="F46">
        <v>3</v>
      </c>
      <c r="G46">
        <v>2</v>
      </c>
      <c r="H46">
        <v>8</v>
      </c>
      <c r="I46">
        <v>4</v>
      </c>
      <c r="J46">
        <f>53+62+31</f>
        <v>146</v>
      </c>
      <c r="K46">
        <f>54+50+42</f>
        <v>146</v>
      </c>
      <c r="L46" t="s">
        <v>13</v>
      </c>
    </row>
    <row r="47" spans="1:12" x14ac:dyDescent="0.25">
      <c r="A47" t="s">
        <v>111</v>
      </c>
      <c r="B47" s="12">
        <v>45736</v>
      </c>
      <c r="C47" t="s">
        <v>189</v>
      </c>
      <c r="D47">
        <v>-2</v>
      </c>
      <c r="E47" t="s">
        <v>10</v>
      </c>
      <c r="F47">
        <v>3</v>
      </c>
      <c r="G47">
        <v>2</v>
      </c>
      <c r="H47">
        <v>8</v>
      </c>
      <c r="I47">
        <v>5</v>
      </c>
      <c r="J47">
        <f>53+42+44</f>
        <v>139</v>
      </c>
      <c r="K47">
        <f>54+32+62</f>
        <v>148</v>
      </c>
      <c r="L47" t="s">
        <v>13</v>
      </c>
    </row>
    <row r="48" spans="1:12" x14ac:dyDescent="0.25">
      <c r="A48" t="s">
        <v>111</v>
      </c>
      <c r="B48" s="12">
        <v>45736</v>
      </c>
      <c r="C48" t="s">
        <v>37</v>
      </c>
      <c r="D48">
        <v>2</v>
      </c>
      <c r="E48" t="s">
        <v>10</v>
      </c>
      <c r="F48">
        <v>3</v>
      </c>
      <c r="G48">
        <v>2</v>
      </c>
      <c r="H48">
        <v>9</v>
      </c>
      <c r="I48">
        <v>5</v>
      </c>
      <c r="J48">
        <f>58+62+44</f>
        <v>164</v>
      </c>
      <c r="K48">
        <f>51+50+62</f>
        <v>163</v>
      </c>
      <c r="L48" t="s">
        <v>13</v>
      </c>
    </row>
    <row r="49" spans="1:12" x14ac:dyDescent="0.25">
      <c r="A49" t="s">
        <v>111</v>
      </c>
      <c r="B49" s="12">
        <v>45736</v>
      </c>
      <c r="C49" t="s">
        <v>38</v>
      </c>
      <c r="D49">
        <v>6</v>
      </c>
      <c r="E49" t="s">
        <v>10</v>
      </c>
      <c r="F49">
        <v>3</v>
      </c>
      <c r="G49">
        <v>2</v>
      </c>
      <c r="H49">
        <v>7</v>
      </c>
      <c r="I49">
        <v>4</v>
      </c>
      <c r="J49">
        <f>58+42+31</f>
        <v>131</v>
      </c>
      <c r="K49">
        <f>51+32+42</f>
        <v>125</v>
      </c>
      <c r="L49" t="s">
        <v>13</v>
      </c>
    </row>
    <row r="50" spans="1:12" x14ac:dyDescent="0.25">
      <c r="A50" t="s">
        <v>111</v>
      </c>
      <c r="B50" s="12">
        <v>45736</v>
      </c>
      <c r="C50" t="s">
        <v>106</v>
      </c>
      <c r="D50">
        <v>0</v>
      </c>
      <c r="E50" t="s">
        <v>13</v>
      </c>
      <c r="F50">
        <v>3</v>
      </c>
      <c r="G50">
        <v>1</v>
      </c>
      <c r="H50">
        <v>8</v>
      </c>
      <c r="I50">
        <v>4</v>
      </c>
      <c r="J50">
        <f>54+50+42</f>
        <v>146</v>
      </c>
      <c r="K50">
        <f>53+62+31</f>
        <v>146</v>
      </c>
      <c r="L50" t="s">
        <v>10</v>
      </c>
    </row>
    <row r="51" spans="1:12" x14ac:dyDescent="0.25">
      <c r="A51" t="s">
        <v>111</v>
      </c>
      <c r="B51" s="12">
        <v>45736</v>
      </c>
      <c r="C51" t="s">
        <v>39</v>
      </c>
      <c r="D51">
        <v>2</v>
      </c>
      <c r="E51" t="s">
        <v>13</v>
      </c>
      <c r="F51">
        <v>3</v>
      </c>
      <c r="G51">
        <v>1</v>
      </c>
      <c r="H51">
        <v>8</v>
      </c>
      <c r="I51">
        <v>3</v>
      </c>
      <c r="J51">
        <f>54+32+62</f>
        <v>148</v>
      </c>
      <c r="K51">
        <f>53+42+44</f>
        <v>139</v>
      </c>
      <c r="L51" t="s">
        <v>10</v>
      </c>
    </row>
    <row r="52" spans="1:12" x14ac:dyDescent="0.25">
      <c r="A52" t="s">
        <v>111</v>
      </c>
      <c r="B52" s="12">
        <v>45736</v>
      </c>
      <c r="C52" t="s">
        <v>41</v>
      </c>
      <c r="D52">
        <v>2</v>
      </c>
      <c r="E52" t="s">
        <v>13</v>
      </c>
      <c r="F52">
        <v>3</v>
      </c>
      <c r="G52">
        <v>1</v>
      </c>
      <c r="H52">
        <v>9</v>
      </c>
      <c r="I52">
        <v>4</v>
      </c>
      <c r="J52">
        <f>51+50+62</f>
        <v>163</v>
      </c>
      <c r="K52">
        <f>58+62+44</f>
        <v>164</v>
      </c>
      <c r="L52" t="s">
        <v>10</v>
      </c>
    </row>
    <row r="53" spans="1:12" x14ac:dyDescent="0.25">
      <c r="A53" t="s">
        <v>111</v>
      </c>
      <c r="B53" s="12">
        <v>45736</v>
      </c>
      <c r="C53" t="s">
        <v>107</v>
      </c>
      <c r="D53">
        <v>6</v>
      </c>
      <c r="E53" t="s">
        <v>13</v>
      </c>
      <c r="F53">
        <v>3</v>
      </c>
      <c r="G53">
        <v>1</v>
      </c>
      <c r="H53">
        <v>7</v>
      </c>
      <c r="I53">
        <v>3</v>
      </c>
      <c r="J53">
        <f>51+32+42</f>
        <v>125</v>
      </c>
      <c r="K53">
        <f>58+42+31</f>
        <v>131</v>
      </c>
      <c r="L53" t="s">
        <v>10</v>
      </c>
    </row>
    <row r="54" spans="1:12" x14ac:dyDescent="0.25">
      <c r="A54" t="s">
        <v>111</v>
      </c>
      <c r="B54" s="12">
        <v>45747</v>
      </c>
      <c r="C54" t="s">
        <v>40</v>
      </c>
      <c r="D54">
        <v>8</v>
      </c>
      <c r="E54" t="s">
        <v>13</v>
      </c>
      <c r="F54">
        <v>3</v>
      </c>
      <c r="G54">
        <v>0</v>
      </c>
      <c r="H54">
        <v>7</v>
      </c>
      <c r="I54">
        <v>1</v>
      </c>
      <c r="J54">
        <f>34+56+33</f>
        <v>123</v>
      </c>
      <c r="K54">
        <f>42+58+42</f>
        <v>142</v>
      </c>
      <c r="L54" t="s">
        <v>18</v>
      </c>
    </row>
    <row r="55" spans="1:12" x14ac:dyDescent="0.25">
      <c r="A55" t="s">
        <v>111</v>
      </c>
      <c r="B55" s="12">
        <v>45747</v>
      </c>
      <c r="C55" t="s">
        <v>134</v>
      </c>
      <c r="D55">
        <v>10</v>
      </c>
      <c r="E55" t="s">
        <v>13</v>
      </c>
      <c r="F55">
        <v>3</v>
      </c>
      <c r="G55">
        <v>2</v>
      </c>
      <c r="H55">
        <v>6</v>
      </c>
      <c r="I55">
        <v>4</v>
      </c>
      <c r="J55">
        <f>34+42+42</f>
        <v>118</v>
      </c>
      <c r="K55">
        <f>42+31+29</f>
        <v>102</v>
      </c>
      <c r="L55" t="s">
        <v>18</v>
      </c>
    </row>
    <row r="56" spans="1:12" x14ac:dyDescent="0.25">
      <c r="A56" t="s">
        <v>111</v>
      </c>
      <c r="B56" s="12">
        <v>45747</v>
      </c>
      <c r="C56" t="s">
        <v>108</v>
      </c>
      <c r="D56">
        <v>4</v>
      </c>
      <c r="E56" t="s">
        <v>13</v>
      </c>
      <c r="F56">
        <v>3</v>
      </c>
      <c r="G56">
        <v>2</v>
      </c>
      <c r="H56">
        <v>8</v>
      </c>
      <c r="I56">
        <v>5</v>
      </c>
      <c r="J56">
        <f>59+56+42</f>
        <v>157</v>
      </c>
      <c r="K56">
        <f>58+58+29</f>
        <v>145</v>
      </c>
      <c r="L56" t="s">
        <v>18</v>
      </c>
    </row>
    <row r="57" spans="1:12" x14ac:dyDescent="0.25">
      <c r="A57" t="s">
        <v>111</v>
      </c>
      <c r="B57" s="12">
        <v>45747</v>
      </c>
      <c r="C57" t="s">
        <v>107</v>
      </c>
      <c r="D57">
        <v>6</v>
      </c>
      <c r="E57" t="s">
        <v>13</v>
      </c>
      <c r="F57">
        <v>3</v>
      </c>
      <c r="G57">
        <v>2</v>
      </c>
      <c r="H57">
        <v>7</v>
      </c>
      <c r="I57">
        <v>4</v>
      </c>
      <c r="J57">
        <f>59+42+33</f>
        <v>134</v>
      </c>
      <c r="K57">
        <f>58+31+42</f>
        <v>131</v>
      </c>
      <c r="L57" t="s">
        <v>18</v>
      </c>
    </row>
    <row r="58" spans="1:12" x14ac:dyDescent="0.25">
      <c r="A58" t="s">
        <v>111</v>
      </c>
      <c r="B58" s="12">
        <v>45747</v>
      </c>
      <c r="C58" t="s">
        <v>67</v>
      </c>
      <c r="D58">
        <v>0</v>
      </c>
      <c r="E58" t="s">
        <v>18</v>
      </c>
      <c r="F58">
        <v>3</v>
      </c>
      <c r="G58">
        <v>3</v>
      </c>
      <c r="H58">
        <v>7</v>
      </c>
      <c r="I58">
        <v>6</v>
      </c>
      <c r="J58">
        <f>42+58+42</f>
        <v>142</v>
      </c>
      <c r="K58">
        <f>34+56+33</f>
        <v>123</v>
      </c>
      <c r="L58" t="s">
        <v>13</v>
      </c>
    </row>
    <row r="59" spans="1:12" x14ac:dyDescent="0.25">
      <c r="A59" t="s">
        <v>111</v>
      </c>
      <c r="B59" s="12">
        <v>45747</v>
      </c>
      <c r="C59" t="s">
        <v>68</v>
      </c>
      <c r="D59">
        <v>2</v>
      </c>
      <c r="E59" t="s">
        <v>18</v>
      </c>
      <c r="F59">
        <v>3</v>
      </c>
      <c r="G59">
        <v>1</v>
      </c>
      <c r="H59">
        <v>6</v>
      </c>
      <c r="I59">
        <v>2</v>
      </c>
      <c r="J59">
        <f>42+31+29</f>
        <v>102</v>
      </c>
      <c r="K59">
        <f>34+42+42</f>
        <v>118</v>
      </c>
      <c r="L59" t="s">
        <v>13</v>
      </c>
    </row>
    <row r="60" spans="1:12" x14ac:dyDescent="0.25">
      <c r="A60" t="s">
        <v>111</v>
      </c>
      <c r="B60" s="12">
        <v>45747</v>
      </c>
      <c r="C60" t="s">
        <v>101</v>
      </c>
      <c r="D60">
        <v>-12</v>
      </c>
      <c r="E60" t="s">
        <v>18</v>
      </c>
      <c r="F60">
        <v>3</v>
      </c>
      <c r="G60">
        <v>1</v>
      </c>
      <c r="H60">
        <v>8</v>
      </c>
      <c r="I60">
        <v>3</v>
      </c>
      <c r="J60">
        <f>58+58+29</f>
        <v>145</v>
      </c>
      <c r="K60">
        <f>59+56+42</f>
        <v>157</v>
      </c>
      <c r="L60" t="s">
        <v>13</v>
      </c>
    </row>
    <row r="61" spans="1:12" x14ac:dyDescent="0.25">
      <c r="A61" t="s">
        <v>111</v>
      </c>
      <c r="B61" s="12">
        <v>45747</v>
      </c>
      <c r="C61" t="s">
        <v>139</v>
      </c>
      <c r="D61">
        <v>-12</v>
      </c>
      <c r="E61" t="s">
        <v>18</v>
      </c>
      <c r="F61">
        <v>3</v>
      </c>
      <c r="G61">
        <v>1</v>
      </c>
      <c r="H61">
        <v>7</v>
      </c>
      <c r="I61">
        <v>3</v>
      </c>
      <c r="J61">
        <f>58+31+42</f>
        <v>131</v>
      </c>
      <c r="K61">
        <f>59+42+33</f>
        <v>134</v>
      </c>
      <c r="L61" t="s">
        <v>13</v>
      </c>
    </row>
    <row r="63" spans="1:12" x14ac:dyDescent="0.25">
      <c r="A63" s="13" t="s">
        <v>44</v>
      </c>
      <c r="B63" s="13"/>
      <c r="C63" s="13"/>
      <c r="D63" s="13"/>
      <c r="E63" s="13"/>
      <c r="F63" s="13">
        <f t="shared" ref="F63:K63" si="0">SUM(F4:F62)</f>
        <v>168</v>
      </c>
      <c r="G63" s="13">
        <f t="shared" si="0"/>
        <v>84</v>
      </c>
      <c r="H63" s="13">
        <f t="shared" si="0"/>
        <v>400</v>
      </c>
      <c r="I63" s="13">
        <f t="shared" si="0"/>
        <v>200</v>
      </c>
      <c r="J63" s="13">
        <f t="shared" si="0"/>
        <v>7264</v>
      </c>
      <c r="K63" s="13">
        <f t="shared" si="0"/>
        <v>7264</v>
      </c>
    </row>
    <row r="64" spans="1:12" x14ac:dyDescent="0.25">
      <c r="G64">
        <f>+F63/2-G63</f>
        <v>0</v>
      </c>
      <c r="I64">
        <f>+H63/2-I63</f>
        <v>0</v>
      </c>
      <c r="K64">
        <f>+J63-K63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7869-10A9-48B9-B0B3-AF72E41A3710}">
  <sheetPr>
    <pageSetUpPr fitToPage="1"/>
  </sheetPr>
  <dimension ref="A1:L104"/>
  <sheetViews>
    <sheetView workbookViewId="0">
      <pane ySplit="4" topLeftCell="A77" activePane="bottomLeft" state="frozen"/>
      <selection pane="bottomLeft" activeCell="D165" sqref="D165"/>
    </sheetView>
  </sheetViews>
  <sheetFormatPr defaultRowHeight="15" x14ac:dyDescent="0.25"/>
  <cols>
    <col min="3" max="3" width="21.140625" bestFit="1" customWidth="1"/>
    <col min="5" max="5" width="13.140625" bestFit="1" customWidth="1"/>
    <col min="12" max="12" width="13.140625" bestFit="1" customWidth="1"/>
  </cols>
  <sheetData>
    <row r="1" spans="1:12" x14ac:dyDescent="0.25">
      <c r="A1" s="33" t="s">
        <v>153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6" spans="1:12" x14ac:dyDescent="0.25">
      <c r="A6" t="s">
        <v>125</v>
      </c>
      <c r="B6" s="12">
        <v>45604</v>
      </c>
      <c r="C6" t="s">
        <v>126</v>
      </c>
      <c r="D6">
        <v>-6</v>
      </c>
      <c r="E6" t="s">
        <v>14</v>
      </c>
      <c r="F6">
        <v>3</v>
      </c>
      <c r="G6">
        <v>2</v>
      </c>
      <c r="H6">
        <v>7</v>
      </c>
      <c r="I6">
        <v>4</v>
      </c>
      <c r="J6">
        <f>42+54+23</f>
        <v>119</v>
      </c>
      <c r="K6">
        <f>29+45+42</f>
        <v>116</v>
      </c>
      <c r="L6" t="s">
        <v>21</v>
      </c>
    </row>
    <row r="7" spans="1:12" x14ac:dyDescent="0.25">
      <c r="A7" t="s">
        <v>125</v>
      </c>
      <c r="B7" s="12">
        <v>45604</v>
      </c>
      <c r="C7" t="s">
        <v>127</v>
      </c>
      <c r="D7">
        <v>4</v>
      </c>
      <c r="E7" t="s">
        <v>14</v>
      </c>
      <c r="F7">
        <v>3</v>
      </c>
      <c r="G7">
        <v>3</v>
      </c>
      <c r="H7">
        <v>6</v>
      </c>
      <c r="I7">
        <v>6</v>
      </c>
      <c r="J7">
        <f>42+42+42</f>
        <v>126</v>
      </c>
      <c r="K7">
        <f>29+35+27</f>
        <v>91</v>
      </c>
      <c r="L7" t="s">
        <v>21</v>
      </c>
    </row>
    <row r="8" spans="1:12" x14ac:dyDescent="0.25">
      <c r="A8" t="s">
        <v>125</v>
      </c>
      <c r="B8" s="12">
        <v>45604</v>
      </c>
      <c r="C8" t="s">
        <v>128</v>
      </c>
      <c r="D8">
        <v>6</v>
      </c>
      <c r="E8" t="s">
        <v>14</v>
      </c>
      <c r="F8">
        <v>3</v>
      </c>
      <c r="G8">
        <v>3</v>
      </c>
      <c r="H8">
        <v>7</v>
      </c>
      <c r="I8">
        <v>6</v>
      </c>
      <c r="J8">
        <f>42+54+42</f>
        <v>138</v>
      </c>
      <c r="K8">
        <f>36+45+27</f>
        <v>108</v>
      </c>
      <c r="L8" t="s">
        <v>21</v>
      </c>
    </row>
    <row r="9" spans="1:12" x14ac:dyDescent="0.25">
      <c r="A9" t="s">
        <v>125</v>
      </c>
      <c r="B9" s="12">
        <v>45604</v>
      </c>
      <c r="C9" t="s">
        <v>50</v>
      </c>
      <c r="D9">
        <v>8</v>
      </c>
      <c r="E9" t="s">
        <v>14</v>
      </c>
      <c r="F9">
        <v>3</v>
      </c>
      <c r="G9">
        <v>2</v>
      </c>
      <c r="H9">
        <v>6</v>
      </c>
      <c r="I9">
        <v>4</v>
      </c>
      <c r="J9">
        <f>42+42+23</f>
        <v>107</v>
      </c>
      <c r="K9">
        <f>36+35+42</f>
        <v>113</v>
      </c>
      <c r="L9" t="s">
        <v>21</v>
      </c>
    </row>
    <row r="10" spans="1:12" x14ac:dyDescent="0.25">
      <c r="A10" t="s">
        <v>125</v>
      </c>
      <c r="B10" s="12">
        <v>45604</v>
      </c>
      <c r="C10" t="s">
        <v>129</v>
      </c>
      <c r="D10">
        <v>-6</v>
      </c>
      <c r="E10" t="s">
        <v>21</v>
      </c>
      <c r="F10">
        <v>3</v>
      </c>
      <c r="G10">
        <v>1</v>
      </c>
      <c r="H10">
        <v>7</v>
      </c>
      <c r="I10">
        <v>3</v>
      </c>
      <c r="J10">
        <f>29+45+42</f>
        <v>116</v>
      </c>
      <c r="K10">
        <f>42+54+23</f>
        <v>119</v>
      </c>
      <c r="L10" t="s">
        <v>14</v>
      </c>
    </row>
    <row r="11" spans="1:12" x14ac:dyDescent="0.25">
      <c r="A11" t="s">
        <v>125</v>
      </c>
      <c r="B11" s="12">
        <v>45604</v>
      </c>
      <c r="C11" t="s">
        <v>130</v>
      </c>
      <c r="D11">
        <v>4</v>
      </c>
      <c r="E11" t="s">
        <v>21</v>
      </c>
      <c r="F11">
        <v>3</v>
      </c>
      <c r="G11">
        <v>0</v>
      </c>
      <c r="H11">
        <v>6</v>
      </c>
      <c r="I11">
        <v>0</v>
      </c>
      <c r="J11">
        <f>29+35+27</f>
        <v>91</v>
      </c>
      <c r="K11">
        <f>42+42+42</f>
        <v>126</v>
      </c>
      <c r="L11" t="s">
        <v>14</v>
      </c>
    </row>
    <row r="12" spans="1:12" x14ac:dyDescent="0.25">
      <c r="A12" t="s">
        <v>125</v>
      </c>
      <c r="B12" s="12">
        <v>45604</v>
      </c>
      <c r="C12" t="s">
        <v>62</v>
      </c>
      <c r="D12">
        <v>4</v>
      </c>
      <c r="E12" t="s">
        <v>21</v>
      </c>
      <c r="F12">
        <v>3</v>
      </c>
      <c r="G12">
        <v>0</v>
      </c>
      <c r="H12">
        <v>7</v>
      </c>
      <c r="I12">
        <v>1</v>
      </c>
      <c r="J12">
        <f>36+45+27</f>
        <v>108</v>
      </c>
      <c r="K12">
        <f>42+54+42</f>
        <v>138</v>
      </c>
      <c r="L12" t="s">
        <v>14</v>
      </c>
    </row>
    <row r="13" spans="1:12" x14ac:dyDescent="0.25">
      <c r="A13" t="s">
        <v>125</v>
      </c>
      <c r="B13" s="12">
        <v>45604</v>
      </c>
      <c r="C13" t="s">
        <v>131</v>
      </c>
      <c r="D13">
        <v>8</v>
      </c>
      <c r="E13" t="s">
        <v>21</v>
      </c>
      <c r="F13">
        <v>3</v>
      </c>
      <c r="G13">
        <v>1</v>
      </c>
      <c r="H13">
        <v>6</v>
      </c>
      <c r="I13">
        <v>2</v>
      </c>
      <c r="J13">
        <f>36+35+42</f>
        <v>113</v>
      </c>
      <c r="K13">
        <f>42+42+23</f>
        <v>107</v>
      </c>
      <c r="L13" t="s">
        <v>14</v>
      </c>
    </row>
    <row r="14" spans="1:12" x14ac:dyDescent="0.25">
      <c r="A14" t="s">
        <v>125</v>
      </c>
      <c r="B14" s="12">
        <v>45621</v>
      </c>
      <c r="C14" t="s">
        <v>106</v>
      </c>
      <c r="D14">
        <v>6</v>
      </c>
      <c r="E14" t="s">
        <v>13</v>
      </c>
      <c r="F14">
        <v>3</v>
      </c>
      <c r="G14">
        <v>3</v>
      </c>
      <c r="H14">
        <v>7</v>
      </c>
      <c r="I14">
        <v>6</v>
      </c>
      <c r="J14">
        <f>42+42+60</f>
        <v>144</v>
      </c>
      <c r="K14">
        <f>32+38+45</f>
        <v>115</v>
      </c>
      <c r="L14" t="s">
        <v>12</v>
      </c>
    </row>
    <row r="15" spans="1:12" x14ac:dyDescent="0.25">
      <c r="A15" t="s">
        <v>125</v>
      </c>
      <c r="B15" s="12">
        <v>45621</v>
      </c>
      <c r="C15" t="s">
        <v>39</v>
      </c>
      <c r="D15">
        <v>8</v>
      </c>
      <c r="E15" t="s">
        <v>13</v>
      </c>
      <c r="F15">
        <v>3</v>
      </c>
      <c r="G15">
        <v>3</v>
      </c>
      <c r="H15">
        <v>6</v>
      </c>
      <c r="I15">
        <v>6</v>
      </c>
      <c r="J15">
        <f>42+42+42</f>
        <v>126</v>
      </c>
      <c r="K15">
        <f>32+36+22</f>
        <v>90</v>
      </c>
      <c r="L15" t="s">
        <v>12</v>
      </c>
    </row>
    <row r="16" spans="1:12" x14ac:dyDescent="0.25">
      <c r="A16" t="s">
        <v>125</v>
      </c>
      <c r="B16" s="12">
        <v>45621</v>
      </c>
      <c r="C16" t="s">
        <v>40</v>
      </c>
      <c r="D16">
        <v>12</v>
      </c>
      <c r="E16" t="s">
        <v>13</v>
      </c>
      <c r="F16">
        <v>3</v>
      </c>
      <c r="G16">
        <v>3</v>
      </c>
      <c r="H16">
        <v>6</v>
      </c>
      <c r="I16">
        <v>6</v>
      </c>
      <c r="J16">
        <f>42+42+42</f>
        <v>126</v>
      </c>
      <c r="K16">
        <f>29+38+22</f>
        <v>89</v>
      </c>
      <c r="L16" t="s">
        <v>12</v>
      </c>
    </row>
    <row r="17" spans="1:12" x14ac:dyDescent="0.25">
      <c r="A17" t="s">
        <v>125</v>
      </c>
      <c r="B17" s="12">
        <v>45621</v>
      </c>
      <c r="C17" t="s">
        <v>134</v>
      </c>
      <c r="D17">
        <v>12</v>
      </c>
      <c r="E17" t="s">
        <v>13</v>
      </c>
      <c r="F17">
        <v>3</v>
      </c>
      <c r="G17">
        <v>3</v>
      </c>
      <c r="H17">
        <v>7</v>
      </c>
      <c r="I17">
        <v>6</v>
      </c>
      <c r="J17">
        <f>42+42+60</f>
        <v>144</v>
      </c>
      <c r="K17">
        <f>29+36+45</f>
        <v>110</v>
      </c>
      <c r="L17" t="s">
        <v>12</v>
      </c>
    </row>
    <row r="18" spans="1:12" x14ac:dyDescent="0.25">
      <c r="A18" t="s">
        <v>125</v>
      </c>
      <c r="B18" s="12">
        <v>45621</v>
      </c>
      <c r="C18" t="s">
        <v>135</v>
      </c>
      <c r="D18">
        <v>10</v>
      </c>
      <c r="E18" t="s">
        <v>12</v>
      </c>
      <c r="F18">
        <v>3</v>
      </c>
      <c r="G18">
        <v>0</v>
      </c>
      <c r="H18">
        <v>7</v>
      </c>
      <c r="I18">
        <v>1</v>
      </c>
      <c r="J18">
        <f>32+38+45</f>
        <v>115</v>
      </c>
      <c r="K18">
        <f>42+42+60</f>
        <v>144</v>
      </c>
      <c r="L18" t="s">
        <v>13</v>
      </c>
    </row>
    <row r="19" spans="1:12" x14ac:dyDescent="0.25">
      <c r="A19" t="s">
        <v>125</v>
      </c>
      <c r="B19" s="12">
        <v>45621</v>
      </c>
      <c r="C19" t="s">
        <v>93</v>
      </c>
      <c r="D19">
        <v>12</v>
      </c>
      <c r="E19" t="s">
        <v>12</v>
      </c>
      <c r="F19">
        <v>3</v>
      </c>
      <c r="G19">
        <v>0</v>
      </c>
      <c r="H19">
        <v>6</v>
      </c>
      <c r="I19">
        <v>0</v>
      </c>
      <c r="J19">
        <f>32+36+22</f>
        <v>90</v>
      </c>
      <c r="K19">
        <f>42+42+42</f>
        <v>126</v>
      </c>
      <c r="L19" t="s">
        <v>13</v>
      </c>
    </row>
    <row r="20" spans="1:12" x14ac:dyDescent="0.25">
      <c r="A20" t="s">
        <v>125</v>
      </c>
      <c r="B20" s="12">
        <v>45621</v>
      </c>
      <c r="C20" t="s">
        <v>136</v>
      </c>
      <c r="D20">
        <v>14</v>
      </c>
      <c r="E20" t="s">
        <v>12</v>
      </c>
      <c r="F20">
        <v>3</v>
      </c>
      <c r="G20">
        <v>0</v>
      </c>
      <c r="H20">
        <v>6</v>
      </c>
      <c r="I20">
        <v>0</v>
      </c>
      <c r="J20">
        <f>29+38+22</f>
        <v>89</v>
      </c>
      <c r="K20">
        <f>42+42+42</f>
        <v>126</v>
      </c>
      <c r="L20" t="s">
        <v>13</v>
      </c>
    </row>
    <row r="21" spans="1:12" x14ac:dyDescent="0.25">
      <c r="A21" t="s">
        <v>125</v>
      </c>
      <c r="B21" s="12">
        <v>45621</v>
      </c>
      <c r="C21" t="s">
        <v>137</v>
      </c>
      <c r="D21">
        <v>14</v>
      </c>
      <c r="E21" t="s">
        <v>12</v>
      </c>
      <c r="F21">
        <v>3</v>
      </c>
      <c r="G21">
        <v>0</v>
      </c>
      <c r="H21">
        <v>7</v>
      </c>
      <c r="I21">
        <v>1</v>
      </c>
      <c r="J21">
        <f>29+36+45</f>
        <v>110</v>
      </c>
      <c r="K21">
        <f>42+42+60</f>
        <v>144</v>
      </c>
      <c r="L21" t="s">
        <v>13</v>
      </c>
    </row>
    <row r="22" spans="1:12" x14ac:dyDescent="0.25">
      <c r="A22" t="s">
        <v>125</v>
      </c>
      <c r="B22" s="12">
        <v>45635</v>
      </c>
      <c r="C22" t="s">
        <v>39</v>
      </c>
      <c r="D22">
        <v>6</v>
      </c>
      <c r="E22" t="s">
        <v>13</v>
      </c>
      <c r="F22">
        <v>3</v>
      </c>
      <c r="G22">
        <v>3</v>
      </c>
      <c r="H22">
        <v>6</v>
      </c>
      <c r="I22">
        <v>6</v>
      </c>
      <c r="J22">
        <f>42+42+42</f>
        <v>126</v>
      </c>
      <c r="K22">
        <f>25+29+25</f>
        <v>79</v>
      </c>
      <c r="L22" t="s">
        <v>21</v>
      </c>
    </row>
    <row r="23" spans="1:12" x14ac:dyDescent="0.25">
      <c r="A23" t="s">
        <v>125</v>
      </c>
      <c r="B23" s="12">
        <v>45635</v>
      </c>
      <c r="C23" t="s">
        <v>155</v>
      </c>
      <c r="D23">
        <v>8</v>
      </c>
      <c r="E23" t="s">
        <v>13</v>
      </c>
      <c r="F23">
        <v>3</v>
      </c>
      <c r="G23">
        <v>2</v>
      </c>
      <c r="H23">
        <v>8</v>
      </c>
      <c r="I23">
        <v>5</v>
      </c>
      <c r="J23">
        <f>42+53+60</f>
        <v>155</v>
      </c>
      <c r="K23">
        <f>25+56+58</f>
        <v>139</v>
      </c>
      <c r="L23" t="s">
        <v>21</v>
      </c>
    </row>
    <row r="24" spans="1:12" x14ac:dyDescent="0.25">
      <c r="A24" t="s">
        <v>125</v>
      </c>
      <c r="B24" s="12">
        <v>45635</v>
      </c>
      <c r="C24" t="s">
        <v>134</v>
      </c>
      <c r="D24">
        <v>10</v>
      </c>
      <c r="E24" t="s">
        <v>13</v>
      </c>
      <c r="F24">
        <v>3</v>
      </c>
      <c r="G24">
        <v>2</v>
      </c>
      <c r="H24">
        <v>7</v>
      </c>
      <c r="I24">
        <v>4</v>
      </c>
      <c r="J24">
        <f>34+42+60</f>
        <v>136</v>
      </c>
      <c r="K24">
        <f>42+29+58</f>
        <v>129</v>
      </c>
      <c r="L24" t="s">
        <v>21</v>
      </c>
    </row>
    <row r="25" spans="1:12" x14ac:dyDescent="0.25">
      <c r="A25" t="s">
        <v>125</v>
      </c>
      <c r="B25" s="12">
        <v>45635</v>
      </c>
      <c r="C25" t="s">
        <v>40</v>
      </c>
      <c r="D25">
        <v>10</v>
      </c>
      <c r="E25" t="s">
        <v>13</v>
      </c>
      <c r="F25">
        <v>3</v>
      </c>
      <c r="G25">
        <v>1</v>
      </c>
      <c r="H25">
        <v>7</v>
      </c>
      <c r="I25">
        <v>3</v>
      </c>
      <c r="J25">
        <f>34+53+42</f>
        <v>129</v>
      </c>
      <c r="K25">
        <f>42+56+25</f>
        <v>123</v>
      </c>
      <c r="L25" t="s">
        <v>21</v>
      </c>
    </row>
    <row r="26" spans="1:12" x14ac:dyDescent="0.25">
      <c r="A26" t="s">
        <v>125</v>
      </c>
      <c r="B26" s="12">
        <v>45635</v>
      </c>
      <c r="C26" t="s">
        <v>141</v>
      </c>
      <c r="D26">
        <v>-2</v>
      </c>
      <c r="E26" t="s">
        <v>21</v>
      </c>
      <c r="F26">
        <v>3</v>
      </c>
      <c r="G26">
        <v>0</v>
      </c>
      <c r="H26">
        <v>6</v>
      </c>
      <c r="I26">
        <v>0</v>
      </c>
      <c r="J26">
        <f>25+29+25</f>
        <v>79</v>
      </c>
      <c r="K26">
        <f>42+42+42</f>
        <v>126</v>
      </c>
      <c r="L26" t="s">
        <v>13</v>
      </c>
    </row>
    <row r="27" spans="1:12" x14ac:dyDescent="0.25">
      <c r="A27" t="s">
        <v>125</v>
      </c>
      <c r="B27" s="12">
        <v>45635</v>
      </c>
      <c r="C27" t="s">
        <v>62</v>
      </c>
      <c r="D27">
        <v>2</v>
      </c>
      <c r="E27" t="s">
        <v>21</v>
      </c>
      <c r="F27">
        <v>3</v>
      </c>
      <c r="G27">
        <v>1</v>
      </c>
      <c r="H27">
        <v>8</v>
      </c>
      <c r="I27">
        <v>3</v>
      </c>
      <c r="J27">
        <f>25+56+58</f>
        <v>139</v>
      </c>
      <c r="K27">
        <f>42+53+60</f>
        <v>155</v>
      </c>
      <c r="L27" t="s">
        <v>13</v>
      </c>
    </row>
    <row r="28" spans="1:12" x14ac:dyDescent="0.25">
      <c r="A28" t="s">
        <v>125</v>
      </c>
      <c r="B28" s="12">
        <v>45635</v>
      </c>
      <c r="C28" t="s">
        <v>142</v>
      </c>
      <c r="D28">
        <v>6</v>
      </c>
      <c r="E28" t="s">
        <v>21</v>
      </c>
      <c r="F28">
        <v>3</v>
      </c>
      <c r="G28">
        <v>1</v>
      </c>
      <c r="H28">
        <v>7</v>
      </c>
      <c r="I28">
        <v>3</v>
      </c>
      <c r="J28">
        <f>42+29+58</f>
        <v>129</v>
      </c>
      <c r="K28">
        <f>34+42+60</f>
        <v>136</v>
      </c>
      <c r="L28" t="s">
        <v>13</v>
      </c>
    </row>
    <row r="29" spans="1:12" x14ac:dyDescent="0.25">
      <c r="A29" t="s">
        <v>125</v>
      </c>
      <c r="B29" s="12">
        <v>45635</v>
      </c>
      <c r="C29" t="s">
        <v>131</v>
      </c>
      <c r="D29">
        <v>8</v>
      </c>
      <c r="E29" t="s">
        <v>21</v>
      </c>
      <c r="F29">
        <v>3</v>
      </c>
      <c r="G29">
        <v>2</v>
      </c>
      <c r="H29">
        <v>7</v>
      </c>
      <c r="I29">
        <v>4</v>
      </c>
      <c r="J29">
        <f>42+56+25</f>
        <v>123</v>
      </c>
      <c r="K29">
        <f>34+53+42</f>
        <v>129</v>
      </c>
      <c r="L29" t="s">
        <v>13</v>
      </c>
    </row>
    <row r="30" spans="1:12" x14ac:dyDescent="0.25">
      <c r="A30" t="s">
        <v>125</v>
      </c>
      <c r="B30" s="12">
        <v>45670</v>
      </c>
      <c r="C30" t="s">
        <v>146</v>
      </c>
      <c r="D30">
        <v>0</v>
      </c>
      <c r="E30" t="s">
        <v>21</v>
      </c>
      <c r="F30">
        <v>3</v>
      </c>
      <c r="G30">
        <v>0</v>
      </c>
      <c r="H30">
        <v>7</v>
      </c>
      <c r="I30">
        <v>1</v>
      </c>
      <c r="J30">
        <f>25+49+31</f>
        <v>105</v>
      </c>
      <c r="K30">
        <f>42+58+42</f>
        <v>142</v>
      </c>
      <c r="L30" t="s">
        <v>13</v>
      </c>
    </row>
    <row r="31" spans="1:12" x14ac:dyDescent="0.25">
      <c r="A31" t="s">
        <v>125</v>
      </c>
      <c r="B31" s="12">
        <v>45670</v>
      </c>
      <c r="C31" t="s">
        <v>147</v>
      </c>
      <c r="D31">
        <v>0</v>
      </c>
      <c r="E31" t="s">
        <v>21</v>
      </c>
      <c r="F31">
        <v>3</v>
      </c>
      <c r="G31">
        <v>2</v>
      </c>
      <c r="H31">
        <v>6</v>
      </c>
      <c r="I31">
        <v>4</v>
      </c>
      <c r="J31">
        <f>25+42+42</f>
        <v>109</v>
      </c>
      <c r="K31">
        <f>42+23+34</f>
        <v>99</v>
      </c>
      <c r="L31" t="s">
        <v>13</v>
      </c>
    </row>
    <row r="32" spans="1:12" x14ac:dyDescent="0.25">
      <c r="A32" t="s">
        <v>125</v>
      </c>
      <c r="B32" s="12">
        <v>45670</v>
      </c>
      <c r="C32" t="s">
        <v>62</v>
      </c>
      <c r="D32">
        <v>4</v>
      </c>
      <c r="E32" t="s">
        <v>21</v>
      </c>
      <c r="F32">
        <v>3</v>
      </c>
      <c r="G32">
        <v>2</v>
      </c>
      <c r="H32">
        <v>8</v>
      </c>
      <c r="I32">
        <v>5</v>
      </c>
      <c r="J32">
        <f>62+49+42</f>
        <v>153</v>
      </c>
      <c r="K32">
        <f>50+58+34</f>
        <v>142</v>
      </c>
      <c r="L32" t="s">
        <v>13</v>
      </c>
    </row>
    <row r="33" spans="1:12" x14ac:dyDescent="0.25">
      <c r="A33" t="s">
        <v>125</v>
      </c>
      <c r="B33" s="12">
        <v>45670</v>
      </c>
      <c r="C33" t="s">
        <v>142</v>
      </c>
      <c r="D33">
        <v>6</v>
      </c>
      <c r="E33" t="s">
        <v>21</v>
      </c>
      <c r="F33">
        <v>3</v>
      </c>
      <c r="G33">
        <v>2</v>
      </c>
      <c r="H33">
        <v>7</v>
      </c>
      <c r="I33">
        <v>4</v>
      </c>
      <c r="J33">
        <f>62+42+31</f>
        <v>135</v>
      </c>
      <c r="K33">
        <f>50+23+42</f>
        <v>115</v>
      </c>
      <c r="L33" t="s">
        <v>13</v>
      </c>
    </row>
    <row r="34" spans="1:12" x14ac:dyDescent="0.25">
      <c r="A34" t="s">
        <v>125</v>
      </c>
      <c r="B34" s="12">
        <v>45670</v>
      </c>
      <c r="C34" t="s">
        <v>39</v>
      </c>
      <c r="D34">
        <v>6</v>
      </c>
      <c r="E34" t="s">
        <v>13</v>
      </c>
      <c r="F34">
        <v>3</v>
      </c>
      <c r="G34">
        <v>3</v>
      </c>
      <c r="H34">
        <v>7</v>
      </c>
      <c r="I34">
        <v>6</v>
      </c>
      <c r="J34">
        <f>42+58+42</f>
        <v>142</v>
      </c>
      <c r="K34">
        <f>25+49+31</f>
        <v>105</v>
      </c>
      <c r="L34" t="s">
        <v>21</v>
      </c>
    </row>
    <row r="35" spans="1:12" x14ac:dyDescent="0.25">
      <c r="A35" t="s">
        <v>125</v>
      </c>
      <c r="B35" s="12">
        <v>45670</v>
      </c>
      <c r="C35" t="s">
        <v>148</v>
      </c>
      <c r="D35">
        <v>8</v>
      </c>
      <c r="E35" t="s">
        <v>13</v>
      </c>
      <c r="F35">
        <v>3</v>
      </c>
      <c r="G35">
        <v>1</v>
      </c>
      <c r="H35">
        <v>6</v>
      </c>
      <c r="I35">
        <v>2</v>
      </c>
      <c r="J35">
        <f>42+23+34</f>
        <v>99</v>
      </c>
      <c r="K35">
        <f>25+42+42</f>
        <v>109</v>
      </c>
      <c r="L35" t="s">
        <v>21</v>
      </c>
    </row>
    <row r="36" spans="1:12" x14ac:dyDescent="0.25">
      <c r="A36" t="s">
        <v>125</v>
      </c>
      <c r="B36" s="12">
        <v>45670</v>
      </c>
      <c r="C36" t="s">
        <v>40</v>
      </c>
      <c r="D36">
        <v>10</v>
      </c>
      <c r="E36" t="s">
        <v>13</v>
      </c>
      <c r="F36">
        <v>3</v>
      </c>
      <c r="G36">
        <v>1</v>
      </c>
      <c r="H36">
        <v>8</v>
      </c>
      <c r="I36">
        <v>3</v>
      </c>
      <c r="J36">
        <f>50+58+34</f>
        <v>142</v>
      </c>
      <c r="K36">
        <f>62+49+42</f>
        <v>153</v>
      </c>
      <c r="L36" t="s">
        <v>21</v>
      </c>
    </row>
    <row r="37" spans="1:12" x14ac:dyDescent="0.25">
      <c r="A37" t="s">
        <v>125</v>
      </c>
      <c r="B37" s="12">
        <v>45670</v>
      </c>
      <c r="C37" t="s">
        <v>134</v>
      </c>
      <c r="D37">
        <v>10</v>
      </c>
      <c r="E37" t="s">
        <v>13</v>
      </c>
      <c r="F37">
        <v>3</v>
      </c>
      <c r="G37">
        <v>1</v>
      </c>
      <c r="H37">
        <v>7</v>
      </c>
      <c r="I37">
        <v>3</v>
      </c>
      <c r="J37">
        <f>50+23+42</f>
        <v>115</v>
      </c>
      <c r="K37">
        <f>62+42+31</f>
        <v>135</v>
      </c>
      <c r="L37" t="s">
        <v>21</v>
      </c>
    </row>
    <row r="38" spans="1:12" x14ac:dyDescent="0.25">
      <c r="A38" t="s">
        <v>125</v>
      </c>
      <c r="B38" s="12">
        <v>45674</v>
      </c>
      <c r="C38" t="s">
        <v>132</v>
      </c>
      <c r="D38">
        <v>8</v>
      </c>
      <c r="E38" t="s">
        <v>12</v>
      </c>
      <c r="F38">
        <v>3</v>
      </c>
      <c r="G38">
        <v>2</v>
      </c>
      <c r="H38">
        <v>7</v>
      </c>
      <c r="I38">
        <v>5</v>
      </c>
      <c r="J38">
        <f>42+58+42</f>
        <v>142</v>
      </c>
      <c r="K38">
        <f>17+61+31</f>
        <v>109</v>
      </c>
      <c r="L38" t="s">
        <v>21</v>
      </c>
    </row>
    <row r="39" spans="1:12" x14ac:dyDescent="0.25">
      <c r="A39" t="s">
        <v>125</v>
      </c>
      <c r="B39" s="12">
        <v>45674</v>
      </c>
      <c r="C39" t="s">
        <v>135</v>
      </c>
      <c r="D39">
        <v>10</v>
      </c>
      <c r="E39" t="s">
        <v>12</v>
      </c>
      <c r="F39">
        <v>3</v>
      </c>
      <c r="G39">
        <v>2</v>
      </c>
      <c r="H39">
        <v>7</v>
      </c>
      <c r="I39">
        <v>5</v>
      </c>
      <c r="J39">
        <f>42+42+57</f>
        <v>141</v>
      </c>
      <c r="K39">
        <f>17+37+61</f>
        <v>115</v>
      </c>
      <c r="L39" t="s">
        <v>21</v>
      </c>
    </row>
    <row r="40" spans="1:12" x14ac:dyDescent="0.25">
      <c r="A40" t="s">
        <v>125</v>
      </c>
      <c r="B40" s="12">
        <v>45674</v>
      </c>
      <c r="C40" t="s">
        <v>136</v>
      </c>
      <c r="D40">
        <v>14</v>
      </c>
      <c r="E40" t="s">
        <v>12</v>
      </c>
      <c r="F40">
        <v>3</v>
      </c>
      <c r="G40">
        <v>0</v>
      </c>
      <c r="H40">
        <v>8</v>
      </c>
      <c r="I40">
        <v>2</v>
      </c>
      <c r="J40">
        <f>37+58+57</f>
        <v>152</v>
      </c>
      <c r="K40">
        <f>42+61+61</f>
        <v>164</v>
      </c>
      <c r="L40" t="s">
        <v>21</v>
      </c>
    </row>
    <row r="41" spans="1:12" x14ac:dyDescent="0.25">
      <c r="A41" t="s">
        <v>125</v>
      </c>
      <c r="B41" s="12">
        <v>45674</v>
      </c>
      <c r="C41" t="s">
        <v>137</v>
      </c>
      <c r="D41">
        <v>14</v>
      </c>
      <c r="E41" t="s">
        <v>12</v>
      </c>
      <c r="F41">
        <v>3</v>
      </c>
      <c r="G41">
        <v>2</v>
      </c>
      <c r="H41">
        <v>6</v>
      </c>
      <c r="I41">
        <v>4</v>
      </c>
      <c r="J41">
        <f>37+42+42</f>
        <v>121</v>
      </c>
      <c r="K41">
        <f>42+37+31</f>
        <v>110</v>
      </c>
      <c r="L41" t="s">
        <v>21</v>
      </c>
    </row>
    <row r="42" spans="1:12" x14ac:dyDescent="0.25">
      <c r="A42" t="s">
        <v>125</v>
      </c>
      <c r="B42" s="12">
        <v>45674</v>
      </c>
      <c r="C42" t="s">
        <v>141</v>
      </c>
      <c r="D42">
        <v>-2</v>
      </c>
      <c r="E42" t="s">
        <v>21</v>
      </c>
      <c r="F42">
        <v>3</v>
      </c>
      <c r="G42">
        <v>1</v>
      </c>
      <c r="H42">
        <v>7</v>
      </c>
      <c r="I42">
        <v>2</v>
      </c>
      <c r="J42">
        <f>17+61+31</f>
        <v>109</v>
      </c>
      <c r="K42">
        <f>42+58+42</f>
        <v>142</v>
      </c>
      <c r="L42" t="s">
        <v>12</v>
      </c>
    </row>
    <row r="43" spans="1:12" x14ac:dyDescent="0.25">
      <c r="A43" t="s">
        <v>125</v>
      </c>
      <c r="B43" s="12">
        <v>45674</v>
      </c>
      <c r="C43" t="s">
        <v>147</v>
      </c>
      <c r="D43">
        <v>0</v>
      </c>
      <c r="E43" t="s">
        <v>21</v>
      </c>
      <c r="F43">
        <v>3</v>
      </c>
      <c r="G43">
        <v>1</v>
      </c>
      <c r="H43">
        <v>7</v>
      </c>
      <c r="I43">
        <v>2</v>
      </c>
      <c r="J43">
        <f>17+37+61</f>
        <v>115</v>
      </c>
      <c r="K43">
        <f>42+42+57</f>
        <v>141</v>
      </c>
      <c r="L43" t="s">
        <v>12</v>
      </c>
    </row>
    <row r="44" spans="1:12" x14ac:dyDescent="0.25">
      <c r="A44" t="s">
        <v>125</v>
      </c>
      <c r="B44" s="12">
        <v>45674</v>
      </c>
      <c r="C44" t="s">
        <v>62</v>
      </c>
      <c r="D44">
        <v>4</v>
      </c>
      <c r="E44" t="s">
        <v>21</v>
      </c>
      <c r="F44">
        <v>3</v>
      </c>
      <c r="G44">
        <v>3</v>
      </c>
      <c r="H44">
        <v>8</v>
      </c>
      <c r="I44">
        <v>6</v>
      </c>
      <c r="J44">
        <f>42+61+61</f>
        <v>164</v>
      </c>
      <c r="K44">
        <f>37+58+57</f>
        <v>152</v>
      </c>
      <c r="L44" t="s">
        <v>12</v>
      </c>
    </row>
    <row r="45" spans="1:12" x14ac:dyDescent="0.25">
      <c r="A45" t="s">
        <v>125</v>
      </c>
      <c r="B45" s="12">
        <v>45674</v>
      </c>
      <c r="C45" t="s">
        <v>130</v>
      </c>
      <c r="D45">
        <v>6</v>
      </c>
      <c r="E45" t="s">
        <v>21</v>
      </c>
      <c r="F45">
        <v>3</v>
      </c>
      <c r="G45">
        <v>1</v>
      </c>
      <c r="H45">
        <v>6</v>
      </c>
      <c r="I45">
        <v>2</v>
      </c>
      <c r="J45">
        <f>42+37+31</f>
        <v>110</v>
      </c>
      <c r="K45">
        <f>37+42+42</f>
        <v>121</v>
      </c>
      <c r="L45" t="s">
        <v>12</v>
      </c>
    </row>
    <row r="46" spans="1:12" x14ac:dyDescent="0.25">
      <c r="A46" t="s">
        <v>125</v>
      </c>
      <c r="B46" s="12">
        <v>45677</v>
      </c>
      <c r="C46" t="s">
        <v>106</v>
      </c>
      <c r="D46">
        <v>6</v>
      </c>
      <c r="E46" t="s">
        <v>13</v>
      </c>
      <c r="F46">
        <v>3</v>
      </c>
      <c r="G46">
        <v>3</v>
      </c>
      <c r="H46">
        <v>6</v>
      </c>
      <c r="I46">
        <v>6</v>
      </c>
      <c r="J46">
        <f>42+42+42</f>
        <v>126</v>
      </c>
      <c r="K46">
        <f>37+28+37</f>
        <v>102</v>
      </c>
      <c r="L46" t="s">
        <v>14</v>
      </c>
    </row>
    <row r="47" spans="1:12" x14ac:dyDescent="0.25">
      <c r="A47" t="s">
        <v>125</v>
      </c>
      <c r="B47" s="12">
        <v>45677</v>
      </c>
      <c r="C47" t="s">
        <v>155</v>
      </c>
      <c r="D47">
        <v>8</v>
      </c>
      <c r="E47" t="s">
        <v>13</v>
      </c>
      <c r="F47">
        <v>3</v>
      </c>
      <c r="G47">
        <v>3</v>
      </c>
      <c r="H47">
        <v>6</v>
      </c>
      <c r="I47">
        <v>6</v>
      </c>
      <c r="J47">
        <f>42+42+42</f>
        <v>126</v>
      </c>
      <c r="K47">
        <f>37+30+28</f>
        <v>95</v>
      </c>
      <c r="L47" t="s">
        <v>14</v>
      </c>
    </row>
    <row r="48" spans="1:12" x14ac:dyDescent="0.25">
      <c r="A48" t="s">
        <v>125</v>
      </c>
      <c r="B48" s="12">
        <v>45677</v>
      </c>
      <c r="C48" t="s">
        <v>40</v>
      </c>
      <c r="D48">
        <v>10</v>
      </c>
      <c r="E48" t="s">
        <v>13</v>
      </c>
      <c r="F48">
        <v>3</v>
      </c>
      <c r="G48">
        <v>2</v>
      </c>
      <c r="H48">
        <v>6</v>
      </c>
      <c r="I48">
        <v>4</v>
      </c>
      <c r="J48">
        <f>34+42+42</f>
        <v>118</v>
      </c>
      <c r="K48">
        <f>42+28+28</f>
        <v>98</v>
      </c>
      <c r="L48" t="s">
        <v>14</v>
      </c>
    </row>
    <row r="49" spans="1:12" x14ac:dyDescent="0.25">
      <c r="A49" t="s">
        <v>125</v>
      </c>
      <c r="B49" s="12">
        <v>45677</v>
      </c>
      <c r="C49" t="s">
        <v>134</v>
      </c>
      <c r="D49">
        <v>10</v>
      </c>
      <c r="E49" t="s">
        <v>13</v>
      </c>
      <c r="F49">
        <v>3</v>
      </c>
      <c r="G49">
        <v>2</v>
      </c>
      <c r="H49">
        <v>6</v>
      </c>
      <c r="I49">
        <v>4</v>
      </c>
      <c r="J49">
        <f>34+42+42</f>
        <v>118</v>
      </c>
      <c r="K49">
        <f>42+30+37</f>
        <v>109</v>
      </c>
      <c r="L49" t="s">
        <v>14</v>
      </c>
    </row>
    <row r="50" spans="1:12" x14ac:dyDescent="0.25">
      <c r="A50" t="s">
        <v>125</v>
      </c>
      <c r="B50" s="12">
        <v>45677</v>
      </c>
      <c r="C50" t="s">
        <v>46</v>
      </c>
      <c r="D50">
        <v>0</v>
      </c>
      <c r="E50" t="s">
        <v>14</v>
      </c>
      <c r="F50">
        <v>3</v>
      </c>
      <c r="G50">
        <v>0</v>
      </c>
      <c r="H50">
        <v>6</v>
      </c>
      <c r="I50">
        <v>0</v>
      </c>
      <c r="J50">
        <f>37+28+37</f>
        <v>102</v>
      </c>
      <c r="K50">
        <f>42+42+42</f>
        <v>126</v>
      </c>
      <c r="L50" t="s">
        <v>13</v>
      </c>
    </row>
    <row r="51" spans="1:12" x14ac:dyDescent="0.25">
      <c r="A51" t="s">
        <v>125</v>
      </c>
      <c r="B51" s="12">
        <v>45677</v>
      </c>
      <c r="C51" t="s">
        <v>127</v>
      </c>
      <c r="D51">
        <v>4</v>
      </c>
      <c r="E51" t="s">
        <v>14</v>
      </c>
      <c r="F51">
        <v>3</v>
      </c>
      <c r="G51">
        <v>0</v>
      </c>
      <c r="H51">
        <v>6</v>
      </c>
      <c r="I51">
        <v>0</v>
      </c>
      <c r="J51">
        <f>37+30+28</f>
        <v>95</v>
      </c>
      <c r="K51">
        <f>42+42+42</f>
        <v>126</v>
      </c>
      <c r="L51" t="s">
        <v>13</v>
      </c>
    </row>
    <row r="52" spans="1:12" x14ac:dyDescent="0.25">
      <c r="A52" t="s">
        <v>125</v>
      </c>
      <c r="B52" s="12">
        <v>45677</v>
      </c>
      <c r="C52" t="s">
        <v>49</v>
      </c>
      <c r="D52">
        <v>4</v>
      </c>
      <c r="E52" t="s">
        <v>14</v>
      </c>
      <c r="F52">
        <v>3</v>
      </c>
      <c r="G52">
        <v>1</v>
      </c>
      <c r="H52">
        <v>6</v>
      </c>
      <c r="I52">
        <v>2</v>
      </c>
      <c r="J52">
        <f>42+28+28</f>
        <v>98</v>
      </c>
      <c r="K52">
        <f>34+42+42</f>
        <v>118</v>
      </c>
      <c r="L52" t="s">
        <v>13</v>
      </c>
    </row>
    <row r="53" spans="1:12" x14ac:dyDescent="0.25">
      <c r="A53" t="s">
        <v>125</v>
      </c>
      <c r="B53" s="12">
        <v>45677</v>
      </c>
      <c r="C53" t="s">
        <v>50</v>
      </c>
      <c r="D53">
        <v>6</v>
      </c>
      <c r="E53" t="s">
        <v>14</v>
      </c>
      <c r="F53">
        <v>3</v>
      </c>
      <c r="G53">
        <v>1</v>
      </c>
      <c r="H53">
        <v>6</v>
      </c>
      <c r="I53">
        <v>2</v>
      </c>
      <c r="J53">
        <f>42+30+37</f>
        <v>109</v>
      </c>
      <c r="K53">
        <f>34+42+42</f>
        <v>118</v>
      </c>
      <c r="L53" t="s">
        <v>13</v>
      </c>
    </row>
    <row r="54" spans="1:12" x14ac:dyDescent="0.25">
      <c r="A54" t="s">
        <v>125</v>
      </c>
      <c r="B54" s="12">
        <v>45684</v>
      </c>
      <c r="C54" t="s">
        <v>147</v>
      </c>
      <c r="D54">
        <v>0</v>
      </c>
      <c r="E54" t="s">
        <v>21</v>
      </c>
      <c r="F54">
        <v>3</v>
      </c>
      <c r="G54">
        <v>2</v>
      </c>
      <c r="H54">
        <v>8</v>
      </c>
      <c r="I54">
        <v>5</v>
      </c>
      <c r="J54">
        <f>42+54+57</f>
        <v>153</v>
      </c>
      <c r="K54">
        <f>36+57+62</f>
        <v>155</v>
      </c>
      <c r="L54" t="s">
        <v>12</v>
      </c>
    </row>
    <row r="55" spans="1:12" x14ac:dyDescent="0.25">
      <c r="A55" t="s">
        <v>125</v>
      </c>
      <c r="B55" s="12">
        <v>45684</v>
      </c>
      <c r="C55" t="s">
        <v>146</v>
      </c>
      <c r="D55">
        <v>2</v>
      </c>
      <c r="E55" t="s">
        <v>21</v>
      </c>
      <c r="F55">
        <v>3</v>
      </c>
      <c r="G55">
        <v>1</v>
      </c>
      <c r="H55">
        <v>7</v>
      </c>
      <c r="I55">
        <v>3</v>
      </c>
      <c r="J55">
        <f>42+21+61</f>
        <v>124</v>
      </c>
      <c r="K55">
        <f>36+42+62</f>
        <v>140</v>
      </c>
      <c r="L55" t="s">
        <v>12</v>
      </c>
    </row>
    <row r="56" spans="1:12" x14ac:dyDescent="0.25">
      <c r="A56" t="s">
        <v>125</v>
      </c>
      <c r="B56" s="12">
        <v>45684</v>
      </c>
      <c r="C56" t="s">
        <v>62</v>
      </c>
      <c r="D56">
        <v>4</v>
      </c>
      <c r="E56" t="s">
        <v>21</v>
      </c>
      <c r="F56">
        <v>3</v>
      </c>
      <c r="G56">
        <v>2</v>
      </c>
      <c r="H56">
        <v>9</v>
      </c>
      <c r="I56">
        <v>5</v>
      </c>
      <c r="J56">
        <f>53+54+61</f>
        <v>168</v>
      </c>
      <c r="K56">
        <f>54+57+62</f>
        <v>173</v>
      </c>
      <c r="L56" t="s">
        <v>12</v>
      </c>
    </row>
    <row r="57" spans="1:12" x14ac:dyDescent="0.25">
      <c r="A57" t="s">
        <v>125</v>
      </c>
      <c r="B57" s="12">
        <v>45684</v>
      </c>
      <c r="C57" t="s">
        <v>130</v>
      </c>
      <c r="D57">
        <v>6</v>
      </c>
      <c r="E57" t="s">
        <v>21</v>
      </c>
      <c r="F57">
        <v>3</v>
      </c>
      <c r="G57">
        <v>1</v>
      </c>
      <c r="H57">
        <v>8</v>
      </c>
      <c r="I57">
        <v>3</v>
      </c>
      <c r="J57">
        <f>53+21+57</f>
        <v>131</v>
      </c>
      <c r="K57">
        <f>54+42+62</f>
        <v>158</v>
      </c>
      <c r="L57" t="s">
        <v>12</v>
      </c>
    </row>
    <row r="58" spans="1:12" x14ac:dyDescent="0.25">
      <c r="A58" t="s">
        <v>125</v>
      </c>
      <c r="B58" s="12">
        <v>45684</v>
      </c>
      <c r="C58" t="s">
        <v>132</v>
      </c>
      <c r="D58">
        <v>8</v>
      </c>
      <c r="E58" t="s">
        <v>12</v>
      </c>
      <c r="F58">
        <v>3</v>
      </c>
      <c r="G58">
        <v>1</v>
      </c>
      <c r="H58">
        <v>8</v>
      </c>
      <c r="I58">
        <v>3</v>
      </c>
      <c r="J58">
        <f>36+57+62</f>
        <v>155</v>
      </c>
      <c r="K58">
        <f>42+54+57</f>
        <v>153</v>
      </c>
      <c r="L58" t="s">
        <v>21</v>
      </c>
    </row>
    <row r="59" spans="1:12" x14ac:dyDescent="0.25">
      <c r="A59" t="s">
        <v>125</v>
      </c>
      <c r="B59" s="12">
        <v>45684</v>
      </c>
      <c r="C59" t="s">
        <v>93</v>
      </c>
      <c r="D59">
        <v>12</v>
      </c>
      <c r="E59" t="s">
        <v>12</v>
      </c>
      <c r="F59">
        <v>3</v>
      </c>
      <c r="G59">
        <v>2</v>
      </c>
      <c r="H59">
        <v>7</v>
      </c>
      <c r="I59">
        <v>4</v>
      </c>
      <c r="J59">
        <f>36+42+62</f>
        <v>140</v>
      </c>
      <c r="K59">
        <f>42+21+61</f>
        <v>124</v>
      </c>
      <c r="L59" t="s">
        <v>21</v>
      </c>
    </row>
    <row r="60" spans="1:12" x14ac:dyDescent="0.25">
      <c r="A60" t="s">
        <v>125</v>
      </c>
      <c r="B60" s="12">
        <v>45684</v>
      </c>
      <c r="C60" t="s">
        <v>136</v>
      </c>
      <c r="D60">
        <v>14</v>
      </c>
      <c r="E60" t="s">
        <v>12</v>
      </c>
      <c r="F60">
        <v>3</v>
      </c>
      <c r="G60">
        <v>1</v>
      </c>
      <c r="H60">
        <v>9</v>
      </c>
      <c r="I60">
        <v>4</v>
      </c>
      <c r="J60">
        <f>54+57+62</f>
        <v>173</v>
      </c>
      <c r="K60">
        <f>53+54+61</f>
        <v>168</v>
      </c>
      <c r="L60" t="s">
        <v>21</v>
      </c>
    </row>
    <row r="61" spans="1:12" x14ac:dyDescent="0.25">
      <c r="A61" t="s">
        <v>125</v>
      </c>
      <c r="B61" s="12">
        <v>45684</v>
      </c>
      <c r="C61" t="s">
        <v>137</v>
      </c>
      <c r="D61">
        <v>14</v>
      </c>
      <c r="E61" t="s">
        <v>12</v>
      </c>
      <c r="F61">
        <v>3</v>
      </c>
      <c r="G61">
        <v>2</v>
      </c>
      <c r="H61">
        <v>8</v>
      </c>
      <c r="I61">
        <v>5</v>
      </c>
      <c r="J61">
        <f>54+42+62</f>
        <v>158</v>
      </c>
      <c r="K61">
        <f>53+21+57</f>
        <v>131</v>
      </c>
      <c r="L61" t="s">
        <v>21</v>
      </c>
    </row>
    <row r="62" spans="1:12" x14ac:dyDescent="0.25">
      <c r="A62" t="s">
        <v>125</v>
      </c>
      <c r="B62" s="12">
        <v>45695</v>
      </c>
      <c r="C62" t="s">
        <v>132</v>
      </c>
      <c r="D62">
        <v>8</v>
      </c>
      <c r="E62" t="s">
        <v>12</v>
      </c>
      <c r="F62">
        <v>3</v>
      </c>
      <c r="G62">
        <v>3</v>
      </c>
      <c r="H62">
        <v>7</v>
      </c>
      <c r="I62">
        <v>6</v>
      </c>
      <c r="J62">
        <f>42+56+42</f>
        <v>140</v>
      </c>
      <c r="K62">
        <f>24+45+22</f>
        <v>91</v>
      </c>
      <c r="L62" t="s">
        <v>14</v>
      </c>
    </row>
    <row r="63" spans="1:12" x14ac:dyDescent="0.25">
      <c r="A63" t="s">
        <v>125</v>
      </c>
      <c r="B63" s="12">
        <v>45695</v>
      </c>
      <c r="C63" t="s">
        <v>135</v>
      </c>
      <c r="D63">
        <v>10</v>
      </c>
      <c r="E63" t="s">
        <v>12</v>
      </c>
      <c r="F63">
        <v>3</v>
      </c>
      <c r="G63">
        <v>2</v>
      </c>
      <c r="H63">
        <v>6</v>
      </c>
      <c r="I63">
        <v>4</v>
      </c>
      <c r="J63">
        <f>42+34+42</f>
        <v>118</v>
      </c>
      <c r="K63">
        <f>24+42+23</f>
        <v>89</v>
      </c>
      <c r="L63" t="s">
        <v>14</v>
      </c>
    </row>
    <row r="64" spans="1:12" x14ac:dyDescent="0.25">
      <c r="A64" t="s">
        <v>125</v>
      </c>
      <c r="B64" s="12">
        <v>45695</v>
      </c>
      <c r="C64" t="s">
        <v>136</v>
      </c>
      <c r="D64">
        <v>14</v>
      </c>
      <c r="E64" t="s">
        <v>12</v>
      </c>
      <c r="F64">
        <v>3</v>
      </c>
      <c r="G64">
        <v>2</v>
      </c>
      <c r="H64">
        <v>8</v>
      </c>
      <c r="I64">
        <v>5</v>
      </c>
      <c r="J64">
        <f>59+56+42</f>
        <v>157</v>
      </c>
      <c r="K64">
        <f>50+45+23</f>
        <v>118</v>
      </c>
      <c r="L64" t="s">
        <v>14</v>
      </c>
    </row>
    <row r="65" spans="1:12" x14ac:dyDescent="0.25">
      <c r="A65" t="s">
        <v>125</v>
      </c>
      <c r="B65" s="12">
        <v>45695</v>
      </c>
      <c r="C65" t="s">
        <v>137</v>
      </c>
      <c r="D65">
        <v>14</v>
      </c>
      <c r="E65" t="s">
        <v>12</v>
      </c>
      <c r="F65">
        <v>3</v>
      </c>
      <c r="G65">
        <v>1</v>
      </c>
      <c r="H65">
        <v>7</v>
      </c>
      <c r="I65">
        <v>3</v>
      </c>
      <c r="J65">
        <f>59+34+42</f>
        <v>135</v>
      </c>
      <c r="K65">
        <f>50+42+22</f>
        <v>114</v>
      </c>
      <c r="L65" t="s">
        <v>14</v>
      </c>
    </row>
    <row r="66" spans="1:12" x14ac:dyDescent="0.25">
      <c r="A66" t="s">
        <v>125</v>
      </c>
      <c r="B66" s="12">
        <v>45695</v>
      </c>
      <c r="C66" t="s">
        <v>118</v>
      </c>
      <c r="D66">
        <v>0</v>
      </c>
      <c r="E66" t="s">
        <v>14</v>
      </c>
      <c r="F66">
        <v>3</v>
      </c>
      <c r="G66">
        <v>0</v>
      </c>
      <c r="H66">
        <v>7</v>
      </c>
      <c r="I66">
        <v>1</v>
      </c>
      <c r="J66">
        <f>24+45+22</f>
        <v>91</v>
      </c>
      <c r="K66">
        <f>42+56+42</f>
        <v>140</v>
      </c>
      <c r="L66" t="s">
        <v>12</v>
      </c>
    </row>
    <row r="67" spans="1:12" x14ac:dyDescent="0.25">
      <c r="A67" t="s">
        <v>125</v>
      </c>
      <c r="B67" s="12">
        <v>45695</v>
      </c>
      <c r="C67" t="s">
        <v>128</v>
      </c>
      <c r="D67">
        <v>4</v>
      </c>
      <c r="E67" t="s">
        <v>14</v>
      </c>
      <c r="F67">
        <v>3</v>
      </c>
      <c r="G67">
        <v>1</v>
      </c>
      <c r="H67">
        <v>6</v>
      </c>
      <c r="I67">
        <v>2</v>
      </c>
      <c r="J67">
        <f>24+42+23</f>
        <v>89</v>
      </c>
      <c r="K67">
        <f>42+34+42</f>
        <v>118</v>
      </c>
      <c r="L67" t="s">
        <v>12</v>
      </c>
    </row>
    <row r="68" spans="1:12" x14ac:dyDescent="0.25">
      <c r="A68" t="s">
        <v>125</v>
      </c>
      <c r="B68" s="12">
        <v>45695</v>
      </c>
      <c r="C68" t="s">
        <v>49</v>
      </c>
      <c r="D68">
        <v>4</v>
      </c>
      <c r="E68" t="s">
        <v>14</v>
      </c>
      <c r="F68">
        <v>3</v>
      </c>
      <c r="G68">
        <v>1</v>
      </c>
      <c r="H68">
        <v>8</v>
      </c>
      <c r="I68">
        <v>3</v>
      </c>
      <c r="J68">
        <f>50+45+23</f>
        <v>118</v>
      </c>
      <c r="K68">
        <f>59+56+42</f>
        <v>157</v>
      </c>
      <c r="L68" t="s">
        <v>12</v>
      </c>
    </row>
    <row r="69" spans="1:12" x14ac:dyDescent="0.25">
      <c r="A69" t="s">
        <v>125</v>
      </c>
      <c r="B69" s="12">
        <v>45695</v>
      </c>
      <c r="C69" t="s">
        <v>50</v>
      </c>
      <c r="D69">
        <v>6</v>
      </c>
      <c r="E69" t="s">
        <v>14</v>
      </c>
      <c r="F69">
        <v>3</v>
      </c>
      <c r="G69">
        <v>2</v>
      </c>
      <c r="H69">
        <v>7</v>
      </c>
      <c r="I69">
        <v>4</v>
      </c>
      <c r="J69">
        <f>50+42+22</f>
        <v>114</v>
      </c>
      <c r="K69">
        <f>59+34+42</f>
        <v>135</v>
      </c>
      <c r="L69" t="s">
        <v>12</v>
      </c>
    </row>
    <row r="70" spans="1:12" x14ac:dyDescent="0.25">
      <c r="A70" t="s">
        <v>125</v>
      </c>
      <c r="B70" s="12">
        <v>45698</v>
      </c>
      <c r="C70" t="s">
        <v>157</v>
      </c>
      <c r="D70">
        <v>-8</v>
      </c>
      <c r="E70" t="s">
        <v>21</v>
      </c>
      <c r="F70">
        <v>3</v>
      </c>
      <c r="G70">
        <v>3</v>
      </c>
      <c r="H70">
        <v>7</v>
      </c>
      <c r="I70">
        <v>6</v>
      </c>
      <c r="J70">
        <f>42+62+42</f>
        <v>146</v>
      </c>
      <c r="K70">
        <f>35+59+32</f>
        <v>126</v>
      </c>
      <c r="L70" t="s">
        <v>14</v>
      </c>
    </row>
    <row r="71" spans="1:12" x14ac:dyDescent="0.25">
      <c r="A71" t="s">
        <v>125</v>
      </c>
      <c r="B71" s="12">
        <v>45698</v>
      </c>
      <c r="C71" t="s">
        <v>147</v>
      </c>
      <c r="D71">
        <v>0</v>
      </c>
      <c r="E71" t="s">
        <v>21</v>
      </c>
      <c r="F71">
        <v>3</v>
      </c>
      <c r="G71">
        <v>2</v>
      </c>
      <c r="H71">
        <v>6</v>
      </c>
      <c r="I71">
        <v>4</v>
      </c>
      <c r="J71">
        <f>42+42+35</f>
        <v>119</v>
      </c>
      <c r="K71">
        <f>35+22+42</f>
        <v>99</v>
      </c>
      <c r="L71" t="s">
        <v>14</v>
      </c>
    </row>
    <row r="72" spans="1:12" x14ac:dyDescent="0.25">
      <c r="A72" t="s">
        <v>125</v>
      </c>
      <c r="B72" s="12">
        <v>45698</v>
      </c>
      <c r="C72" t="s">
        <v>62</v>
      </c>
      <c r="D72">
        <v>4</v>
      </c>
      <c r="E72" t="s">
        <v>21</v>
      </c>
      <c r="F72">
        <v>3</v>
      </c>
      <c r="G72">
        <v>1</v>
      </c>
      <c r="H72">
        <v>7</v>
      </c>
      <c r="I72">
        <v>2</v>
      </c>
      <c r="J72">
        <f>32+62+35</f>
        <v>129</v>
      </c>
      <c r="K72">
        <f>42+59+42</f>
        <v>143</v>
      </c>
      <c r="L72" t="s">
        <v>14</v>
      </c>
    </row>
    <row r="73" spans="1:12" x14ac:dyDescent="0.25">
      <c r="A73" t="s">
        <v>125</v>
      </c>
      <c r="B73" s="12">
        <v>45698</v>
      </c>
      <c r="C73" t="s">
        <v>142</v>
      </c>
      <c r="D73">
        <v>6</v>
      </c>
      <c r="E73" t="s">
        <v>21</v>
      </c>
      <c r="F73">
        <v>3</v>
      </c>
      <c r="G73">
        <v>2</v>
      </c>
      <c r="H73">
        <v>6</v>
      </c>
      <c r="I73">
        <v>4</v>
      </c>
      <c r="J73">
        <f>32+42+42</f>
        <v>116</v>
      </c>
      <c r="K73">
        <f>42+22+32</f>
        <v>96</v>
      </c>
      <c r="L73" t="s">
        <v>14</v>
      </c>
    </row>
    <row r="74" spans="1:12" x14ac:dyDescent="0.25">
      <c r="A74" t="s">
        <v>125</v>
      </c>
      <c r="B74" s="12">
        <v>45698</v>
      </c>
      <c r="C74" t="s">
        <v>158</v>
      </c>
      <c r="D74">
        <v>-6</v>
      </c>
      <c r="E74" t="s">
        <v>14</v>
      </c>
      <c r="F74">
        <v>3</v>
      </c>
      <c r="G74">
        <v>0</v>
      </c>
      <c r="H74">
        <v>7</v>
      </c>
      <c r="I74">
        <v>1</v>
      </c>
      <c r="J74">
        <f>35+59+32</f>
        <v>126</v>
      </c>
      <c r="K74">
        <f>42+62+42</f>
        <v>146</v>
      </c>
      <c r="L74" t="s">
        <v>21</v>
      </c>
    </row>
    <row r="75" spans="1:12" x14ac:dyDescent="0.25">
      <c r="A75" t="s">
        <v>125</v>
      </c>
      <c r="B75" s="12">
        <v>45698</v>
      </c>
      <c r="C75" t="s">
        <v>118</v>
      </c>
      <c r="D75">
        <v>0</v>
      </c>
      <c r="E75" t="s">
        <v>14</v>
      </c>
      <c r="F75">
        <v>3</v>
      </c>
      <c r="G75">
        <v>1</v>
      </c>
      <c r="H75">
        <v>6</v>
      </c>
      <c r="I75">
        <v>2</v>
      </c>
      <c r="J75">
        <f>35+22+42</f>
        <v>99</v>
      </c>
      <c r="K75">
        <f>42+42+35</f>
        <v>119</v>
      </c>
      <c r="L75" t="s">
        <v>21</v>
      </c>
    </row>
    <row r="76" spans="1:12" x14ac:dyDescent="0.25">
      <c r="A76" t="s">
        <v>125</v>
      </c>
      <c r="B76" s="12">
        <v>45698</v>
      </c>
      <c r="C76" t="s">
        <v>127</v>
      </c>
      <c r="D76">
        <v>4</v>
      </c>
      <c r="E76" t="s">
        <v>14</v>
      </c>
      <c r="F76">
        <v>3</v>
      </c>
      <c r="G76">
        <v>2</v>
      </c>
      <c r="H76">
        <v>7</v>
      </c>
      <c r="I76">
        <v>5</v>
      </c>
      <c r="J76">
        <f>42+59+42</f>
        <v>143</v>
      </c>
      <c r="K76">
        <f>32+62+35</f>
        <v>129</v>
      </c>
      <c r="L76" t="s">
        <v>21</v>
      </c>
    </row>
    <row r="77" spans="1:12" x14ac:dyDescent="0.25">
      <c r="A77" t="s">
        <v>125</v>
      </c>
      <c r="B77" s="12">
        <v>45698</v>
      </c>
      <c r="C77" t="s">
        <v>49</v>
      </c>
      <c r="D77">
        <v>4</v>
      </c>
      <c r="E77" t="s">
        <v>14</v>
      </c>
      <c r="F77">
        <v>3</v>
      </c>
      <c r="G77">
        <v>1</v>
      </c>
      <c r="H77">
        <v>6</v>
      </c>
      <c r="I77">
        <v>2</v>
      </c>
      <c r="J77">
        <f>42+22+32</f>
        <v>96</v>
      </c>
      <c r="K77">
        <f>32+42+42</f>
        <v>116</v>
      </c>
      <c r="L77" t="s">
        <v>21</v>
      </c>
    </row>
    <row r="78" spans="1:12" x14ac:dyDescent="0.25">
      <c r="A78" t="s">
        <v>125</v>
      </c>
      <c r="B78" s="12">
        <v>45716</v>
      </c>
      <c r="C78" t="s">
        <v>118</v>
      </c>
      <c r="D78">
        <v>0</v>
      </c>
      <c r="E78" t="s">
        <v>14</v>
      </c>
      <c r="F78">
        <v>3</v>
      </c>
      <c r="G78">
        <v>1</v>
      </c>
      <c r="H78">
        <v>8</v>
      </c>
      <c r="I78">
        <v>3</v>
      </c>
      <c r="J78">
        <f>18+55+43</f>
        <v>116</v>
      </c>
      <c r="K78">
        <f>42+56+59</f>
        <v>157</v>
      </c>
      <c r="L78" t="s">
        <v>13</v>
      </c>
    </row>
    <row r="79" spans="1:12" x14ac:dyDescent="0.25">
      <c r="A79" t="s">
        <v>125</v>
      </c>
      <c r="B79" s="12">
        <v>45716</v>
      </c>
      <c r="C79" t="s">
        <v>127</v>
      </c>
      <c r="D79">
        <v>4</v>
      </c>
      <c r="E79" t="s">
        <v>14</v>
      </c>
      <c r="F79">
        <v>3</v>
      </c>
      <c r="G79">
        <v>1</v>
      </c>
      <c r="H79">
        <v>7</v>
      </c>
      <c r="I79">
        <v>2</v>
      </c>
      <c r="J79">
        <f>18+37+54</f>
        <v>109</v>
      </c>
      <c r="K79">
        <f>42+42+55</f>
        <v>139</v>
      </c>
      <c r="L79" t="s">
        <v>13</v>
      </c>
    </row>
    <row r="80" spans="1:12" x14ac:dyDescent="0.25">
      <c r="A80" t="s">
        <v>125</v>
      </c>
      <c r="B80" s="12">
        <v>45716</v>
      </c>
      <c r="C80" t="s">
        <v>49</v>
      </c>
      <c r="D80">
        <v>4</v>
      </c>
      <c r="E80" t="s">
        <v>14</v>
      </c>
      <c r="F80">
        <v>3</v>
      </c>
      <c r="G80">
        <v>3</v>
      </c>
      <c r="H80">
        <v>8</v>
      </c>
      <c r="I80">
        <v>6</v>
      </c>
      <c r="J80">
        <f>42+55+54</f>
        <v>151</v>
      </c>
      <c r="K80">
        <f>31+56+55</f>
        <v>142</v>
      </c>
      <c r="L80" t="s">
        <v>13</v>
      </c>
    </row>
    <row r="81" spans="1:12" x14ac:dyDescent="0.25">
      <c r="A81" t="s">
        <v>125</v>
      </c>
      <c r="B81" s="12">
        <v>45716</v>
      </c>
      <c r="C81" t="s">
        <v>50</v>
      </c>
      <c r="D81">
        <v>6</v>
      </c>
      <c r="E81" t="s">
        <v>14</v>
      </c>
      <c r="F81">
        <v>3</v>
      </c>
      <c r="G81">
        <v>1</v>
      </c>
      <c r="H81">
        <v>7</v>
      </c>
      <c r="I81">
        <v>3</v>
      </c>
      <c r="J81">
        <f>42+37+43</f>
        <v>122</v>
      </c>
      <c r="K81">
        <f>31+42+59</f>
        <v>132</v>
      </c>
      <c r="L81" t="s">
        <v>13</v>
      </c>
    </row>
    <row r="82" spans="1:12" x14ac:dyDescent="0.25">
      <c r="A82" t="s">
        <v>125</v>
      </c>
      <c r="B82" s="12">
        <v>45716</v>
      </c>
      <c r="C82" t="s">
        <v>39</v>
      </c>
      <c r="D82">
        <v>6</v>
      </c>
      <c r="E82" t="s">
        <v>13</v>
      </c>
      <c r="F82">
        <v>3</v>
      </c>
      <c r="G82">
        <v>2</v>
      </c>
      <c r="H82">
        <v>8</v>
      </c>
      <c r="I82">
        <v>5</v>
      </c>
      <c r="J82">
        <f>42+56+59</f>
        <v>157</v>
      </c>
      <c r="K82">
        <f>18+55+43</f>
        <v>116</v>
      </c>
      <c r="L82" t="s">
        <v>14</v>
      </c>
    </row>
    <row r="83" spans="1:12" x14ac:dyDescent="0.25">
      <c r="A83" t="s">
        <v>125</v>
      </c>
      <c r="B83" s="12">
        <v>45716</v>
      </c>
      <c r="C83" t="s">
        <v>106</v>
      </c>
      <c r="D83">
        <v>6</v>
      </c>
      <c r="E83" t="s">
        <v>13</v>
      </c>
      <c r="F83">
        <v>3</v>
      </c>
      <c r="G83">
        <v>2</v>
      </c>
      <c r="H83">
        <v>7</v>
      </c>
      <c r="I83">
        <v>5</v>
      </c>
      <c r="J83">
        <f>42+42+55</f>
        <v>139</v>
      </c>
      <c r="K83">
        <f>18+37+54</f>
        <v>109</v>
      </c>
      <c r="L83" t="s">
        <v>14</v>
      </c>
    </row>
    <row r="84" spans="1:12" x14ac:dyDescent="0.25">
      <c r="A84" t="s">
        <v>125</v>
      </c>
      <c r="B84" s="12">
        <v>45716</v>
      </c>
      <c r="C84" t="s">
        <v>40</v>
      </c>
      <c r="D84">
        <v>10</v>
      </c>
      <c r="E84" t="s">
        <v>13</v>
      </c>
      <c r="F84">
        <v>3</v>
      </c>
      <c r="G84">
        <v>0</v>
      </c>
      <c r="H84">
        <v>8</v>
      </c>
      <c r="I84">
        <v>2</v>
      </c>
      <c r="J84">
        <f>31+56+55</f>
        <v>142</v>
      </c>
      <c r="K84">
        <f>42+55+54</f>
        <v>151</v>
      </c>
      <c r="L84" t="s">
        <v>14</v>
      </c>
    </row>
    <row r="85" spans="1:12" x14ac:dyDescent="0.25">
      <c r="A85" t="s">
        <v>125</v>
      </c>
      <c r="B85" s="12">
        <v>45716</v>
      </c>
      <c r="C85" t="s">
        <v>134</v>
      </c>
      <c r="D85">
        <v>10</v>
      </c>
      <c r="E85" t="s">
        <v>13</v>
      </c>
      <c r="F85">
        <v>3</v>
      </c>
      <c r="G85">
        <v>2</v>
      </c>
      <c r="H85">
        <v>7</v>
      </c>
      <c r="I85">
        <v>4</v>
      </c>
      <c r="J85">
        <f>31+42+59</f>
        <v>132</v>
      </c>
      <c r="K85">
        <f>42+37+43</f>
        <v>122</v>
      </c>
      <c r="L85" t="s">
        <v>14</v>
      </c>
    </row>
    <row r="86" spans="1:12" x14ac:dyDescent="0.25">
      <c r="A86" t="s">
        <v>125</v>
      </c>
      <c r="B86" s="12">
        <v>45723</v>
      </c>
      <c r="C86" t="s">
        <v>135</v>
      </c>
      <c r="D86">
        <v>10</v>
      </c>
      <c r="E86" t="s">
        <v>12</v>
      </c>
      <c r="F86">
        <v>3</v>
      </c>
      <c r="G86">
        <v>0</v>
      </c>
      <c r="H86">
        <v>7</v>
      </c>
      <c r="I86">
        <v>1</v>
      </c>
      <c r="J86">
        <f>33+53+30</f>
        <v>116</v>
      </c>
      <c r="K86">
        <f>42+62+42</f>
        <v>146</v>
      </c>
      <c r="L86" t="s">
        <v>13</v>
      </c>
    </row>
    <row r="87" spans="1:12" x14ac:dyDescent="0.25">
      <c r="A87" t="s">
        <v>125</v>
      </c>
      <c r="B87" s="12">
        <v>45723</v>
      </c>
      <c r="C87" t="s">
        <v>93</v>
      </c>
      <c r="D87">
        <v>12</v>
      </c>
      <c r="E87" t="s">
        <v>12</v>
      </c>
      <c r="F87">
        <v>3</v>
      </c>
      <c r="G87">
        <v>0</v>
      </c>
      <c r="H87">
        <v>6</v>
      </c>
      <c r="I87">
        <v>0</v>
      </c>
      <c r="J87">
        <f>33+32+37</f>
        <v>102</v>
      </c>
      <c r="K87">
        <f>42+42+42</f>
        <v>126</v>
      </c>
      <c r="L87" t="s">
        <v>13</v>
      </c>
    </row>
    <row r="88" spans="1:12" x14ac:dyDescent="0.25">
      <c r="A88" t="s">
        <v>125</v>
      </c>
      <c r="B88" s="12">
        <v>45723</v>
      </c>
      <c r="C88" t="s">
        <v>136</v>
      </c>
      <c r="D88">
        <v>14</v>
      </c>
      <c r="E88" t="s">
        <v>12</v>
      </c>
      <c r="F88">
        <v>3</v>
      </c>
      <c r="G88">
        <v>0</v>
      </c>
      <c r="H88">
        <v>8</v>
      </c>
      <c r="I88">
        <v>2</v>
      </c>
      <c r="J88">
        <f>48+53+37</f>
        <v>138</v>
      </c>
      <c r="K88">
        <f>59+62+42</f>
        <v>163</v>
      </c>
      <c r="L88" t="s">
        <v>13</v>
      </c>
    </row>
    <row r="89" spans="1:12" x14ac:dyDescent="0.25">
      <c r="A89" t="s">
        <v>125</v>
      </c>
      <c r="B89" s="12">
        <v>45723</v>
      </c>
      <c r="C89" t="s">
        <v>137</v>
      </c>
      <c r="D89">
        <v>14</v>
      </c>
      <c r="E89" t="s">
        <v>12</v>
      </c>
      <c r="F89">
        <v>3</v>
      </c>
      <c r="G89">
        <v>0</v>
      </c>
      <c r="H89">
        <v>7</v>
      </c>
      <c r="I89">
        <v>1</v>
      </c>
      <c r="J89">
        <f>48+32+30</f>
        <v>110</v>
      </c>
      <c r="K89">
        <f>59+42+42</f>
        <v>143</v>
      </c>
      <c r="L89" t="s">
        <v>13</v>
      </c>
    </row>
    <row r="90" spans="1:12" x14ac:dyDescent="0.25">
      <c r="A90" t="s">
        <v>125</v>
      </c>
      <c r="B90" s="12">
        <v>45723</v>
      </c>
      <c r="C90" t="s">
        <v>39</v>
      </c>
      <c r="D90">
        <v>6</v>
      </c>
      <c r="E90" t="s">
        <v>13</v>
      </c>
      <c r="F90">
        <v>3</v>
      </c>
      <c r="G90">
        <v>3</v>
      </c>
      <c r="H90">
        <v>7</v>
      </c>
      <c r="I90">
        <v>6</v>
      </c>
      <c r="J90">
        <f>42+62+42</f>
        <v>146</v>
      </c>
      <c r="K90">
        <f>33+53+30</f>
        <v>116</v>
      </c>
      <c r="L90" t="s">
        <v>12</v>
      </c>
    </row>
    <row r="91" spans="1:12" x14ac:dyDescent="0.25">
      <c r="A91" t="s">
        <v>125</v>
      </c>
      <c r="B91" s="12">
        <v>45723</v>
      </c>
      <c r="C91" t="s">
        <v>106</v>
      </c>
      <c r="D91">
        <v>6</v>
      </c>
      <c r="E91" t="s">
        <v>13</v>
      </c>
      <c r="F91">
        <v>3</v>
      </c>
      <c r="G91">
        <v>3</v>
      </c>
      <c r="H91">
        <v>6</v>
      </c>
      <c r="I91">
        <v>6</v>
      </c>
      <c r="J91">
        <f>42+42+42</f>
        <v>126</v>
      </c>
      <c r="K91">
        <f>33+32+37</f>
        <v>102</v>
      </c>
      <c r="L91" t="s">
        <v>12</v>
      </c>
    </row>
    <row r="92" spans="1:12" x14ac:dyDescent="0.25">
      <c r="A92" t="s">
        <v>125</v>
      </c>
      <c r="B92" s="12">
        <v>45723</v>
      </c>
      <c r="C92" t="s">
        <v>40</v>
      </c>
      <c r="D92">
        <v>10</v>
      </c>
      <c r="E92" t="s">
        <v>13</v>
      </c>
      <c r="F92">
        <v>3</v>
      </c>
      <c r="G92">
        <v>3</v>
      </c>
      <c r="H92">
        <v>8</v>
      </c>
      <c r="I92">
        <v>6</v>
      </c>
      <c r="J92">
        <f>59+62+42</f>
        <v>163</v>
      </c>
      <c r="K92">
        <f>48+53+37</f>
        <v>138</v>
      </c>
      <c r="L92" t="s">
        <v>12</v>
      </c>
    </row>
    <row r="93" spans="1:12" x14ac:dyDescent="0.25">
      <c r="A93" t="s">
        <v>125</v>
      </c>
      <c r="B93" s="12">
        <v>45723</v>
      </c>
      <c r="C93" t="s">
        <v>134</v>
      </c>
      <c r="D93">
        <v>10</v>
      </c>
      <c r="E93" t="s">
        <v>13</v>
      </c>
      <c r="F93">
        <v>3</v>
      </c>
      <c r="G93">
        <v>3</v>
      </c>
      <c r="H93">
        <v>7</v>
      </c>
      <c r="I93">
        <v>6</v>
      </c>
      <c r="J93">
        <f>59+42+42</f>
        <v>143</v>
      </c>
      <c r="K93">
        <f>48+32+30</f>
        <v>110</v>
      </c>
      <c r="L93" t="s">
        <v>12</v>
      </c>
    </row>
    <row r="94" spans="1:12" x14ac:dyDescent="0.25">
      <c r="A94" t="s">
        <v>125</v>
      </c>
      <c r="B94" s="12">
        <v>45744</v>
      </c>
      <c r="C94" t="s">
        <v>128</v>
      </c>
      <c r="D94">
        <v>4</v>
      </c>
      <c r="E94" t="s">
        <v>14</v>
      </c>
      <c r="F94">
        <v>3</v>
      </c>
      <c r="G94">
        <v>2</v>
      </c>
      <c r="H94">
        <v>9</v>
      </c>
      <c r="I94">
        <v>5</v>
      </c>
      <c r="J94">
        <f>61+54+60</f>
        <v>175</v>
      </c>
      <c r="K94">
        <f>54+58+56</f>
        <v>168</v>
      </c>
      <c r="L94" t="s">
        <v>12</v>
      </c>
    </row>
    <row r="95" spans="1:12" x14ac:dyDescent="0.25">
      <c r="A95" t="s">
        <v>125</v>
      </c>
      <c r="B95" s="12">
        <v>45744</v>
      </c>
      <c r="C95" t="s">
        <v>127</v>
      </c>
      <c r="D95">
        <v>4</v>
      </c>
      <c r="E95" t="s">
        <v>14</v>
      </c>
      <c r="F95">
        <v>3</v>
      </c>
      <c r="G95">
        <v>2</v>
      </c>
      <c r="H95">
        <v>7</v>
      </c>
      <c r="I95">
        <v>4</v>
      </c>
      <c r="J95">
        <f>61+42+30</f>
        <v>133</v>
      </c>
      <c r="K95">
        <f>54+31+42</f>
        <v>127</v>
      </c>
      <c r="L95" t="s">
        <v>12</v>
      </c>
    </row>
    <row r="96" spans="1:12" x14ac:dyDescent="0.25">
      <c r="A96" t="s">
        <v>125</v>
      </c>
      <c r="B96" s="12">
        <v>45744</v>
      </c>
      <c r="C96" t="s">
        <v>49</v>
      </c>
      <c r="D96">
        <v>4</v>
      </c>
      <c r="E96" t="s">
        <v>14</v>
      </c>
      <c r="F96">
        <v>3</v>
      </c>
      <c r="G96">
        <v>1</v>
      </c>
      <c r="H96">
        <v>8</v>
      </c>
      <c r="I96">
        <v>3</v>
      </c>
      <c r="J96">
        <f>62+54+30</f>
        <v>146</v>
      </c>
      <c r="K96">
        <f>60+58+42</f>
        <v>160</v>
      </c>
      <c r="L96" t="s">
        <v>12</v>
      </c>
    </row>
    <row r="97" spans="1:12" x14ac:dyDescent="0.25">
      <c r="A97" t="s">
        <v>125</v>
      </c>
      <c r="B97" s="12">
        <v>45744</v>
      </c>
      <c r="C97" t="s">
        <v>50</v>
      </c>
      <c r="D97">
        <v>6</v>
      </c>
      <c r="E97" t="s">
        <v>14</v>
      </c>
      <c r="F97">
        <v>3</v>
      </c>
      <c r="G97">
        <v>3</v>
      </c>
      <c r="H97">
        <v>8</v>
      </c>
      <c r="I97">
        <v>6</v>
      </c>
      <c r="J97">
        <f>62+42+60</f>
        <v>164</v>
      </c>
      <c r="K97">
        <f>60+31+56</f>
        <v>147</v>
      </c>
      <c r="L97" t="s">
        <v>12</v>
      </c>
    </row>
    <row r="98" spans="1:12" x14ac:dyDescent="0.25">
      <c r="A98" t="s">
        <v>125</v>
      </c>
      <c r="B98" s="12">
        <v>45744</v>
      </c>
      <c r="C98" t="s">
        <v>132</v>
      </c>
      <c r="D98">
        <v>8</v>
      </c>
      <c r="E98" t="s">
        <v>12</v>
      </c>
      <c r="F98">
        <v>3</v>
      </c>
      <c r="G98">
        <v>1</v>
      </c>
      <c r="H98">
        <v>9</v>
      </c>
      <c r="I98">
        <v>4</v>
      </c>
      <c r="J98">
        <f>54+58+56</f>
        <v>168</v>
      </c>
      <c r="K98">
        <f>61+54+60</f>
        <v>175</v>
      </c>
      <c r="L98" t="s">
        <v>14</v>
      </c>
    </row>
    <row r="99" spans="1:12" x14ac:dyDescent="0.25">
      <c r="A99" t="s">
        <v>125</v>
      </c>
      <c r="B99" s="12">
        <v>45744</v>
      </c>
      <c r="C99" t="s">
        <v>135</v>
      </c>
      <c r="D99">
        <v>10</v>
      </c>
      <c r="E99" t="s">
        <v>12</v>
      </c>
      <c r="F99">
        <v>3</v>
      </c>
      <c r="G99">
        <v>1</v>
      </c>
      <c r="H99">
        <v>7</v>
      </c>
      <c r="I99">
        <v>3</v>
      </c>
      <c r="J99">
        <f>54+31+42</f>
        <v>127</v>
      </c>
      <c r="K99">
        <f>61+42+30</f>
        <v>133</v>
      </c>
      <c r="L99" t="s">
        <v>14</v>
      </c>
    </row>
    <row r="100" spans="1:12" x14ac:dyDescent="0.25">
      <c r="A100" t="s">
        <v>125</v>
      </c>
      <c r="B100" s="12">
        <v>45744</v>
      </c>
      <c r="C100" t="s">
        <v>93</v>
      </c>
      <c r="D100">
        <v>12</v>
      </c>
      <c r="E100" t="s">
        <v>12</v>
      </c>
      <c r="F100">
        <v>3</v>
      </c>
      <c r="G100">
        <v>2</v>
      </c>
      <c r="H100">
        <v>8</v>
      </c>
      <c r="I100">
        <v>5</v>
      </c>
      <c r="J100">
        <f>60+58+42</f>
        <v>160</v>
      </c>
      <c r="K100">
        <f>62+54+30</f>
        <v>146</v>
      </c>
      <c r="L100" t="s">
        <v>14</v>
      </c>
    </row>
    <row r="101" spans="1:12" x14ac:dyDescent="0.25">
      <c r="A101" t="s">
        <v>125</v>
      </c>
      <c r="B101" s="12">
        <v>45744</v>
      </c>
      <c r="C101" t="s">
        <v>137</v>
      </c>
      <c r="D101">
        <v>14</v>
      </c>
      <c r="E101" t="s">
        <v>12</v>
      </c>
      <c r="F101">
        <v>3</v>
      </c>
      <c r="G101">
        <v>0</v>
      </c>
      <c r="H101">
        <v>8</v>
      </c>
      <c r="I101">
        <v>2</v>
      </c>
      <c r="J101">
        <f>60+31+56</f>
        <v>147</v>
      </c>
      <c r="K101">
        <f>62+42+60</f>
        <v>164</v>
      </c>
      <c r="L101" t="s">
        <v>14</v>
      </c>
    </row>
    <row r="103" spans="1:12" x14ac:dyDescent="0.25">
      <c r="A103" s="13" t="s">
        <v>44</v>
      </c>
      <c r="B103" s="13"/>
      <c r="C103" s="13"/>
      <c r="D103" s="13"/>
      <c r="E103" s="13"/>
      <c r="F103" s="13">
        <f t="shared" ref="F103:K103" si="0">SUM(F4:F102)</f>
        <v>288</v>
      </c>
      <c r="G103" s="13">
        <f t="shared" si="0"/>
        <v>144</v>
      </c>
      <c r="H103" s="13">
        <f t="shared" si="0"/>
        <v>672</v>
      </c>
      <c r="I103" s="13">
        <f t="shared" si="0"/>
        <v>336</v>
      </c>
      <c r="J103" s="13">
        <f t="shared" si="0"/>
        <v>12294</v>
      </c>
      <c r="K103" s="13">
        <f t="shared" si="0"/>
        <v>12294</v>
      </c>
    </row>
    <row r="104" spans="1:12" x14ac:dyDescent="0.25">
      <c r="G104">
        <f>+F103/2-G103</f>
        <v>0</v>
      </c>
      <c r="I104">
        <f>+H103/2-I103</f>
        <v>0</v>
      </c>
      <c r="K104">
        <f>+J103-K103</f>
        <v>0</v>
      </c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Results</vt:lpstr>
      <vt:lpstr>Tables</vt:lpstr>
      <vt:lpstr>Combi 4s Performance</vt:lpstr>
      <vt:lpstr>Open 4s Performance</vt:lpstr>
      <vt:lpstr>Masters 4s Performance</vt:lpstr>
      <vt:lpstr>Ladies 4s Performance</vt:lpstr>
      <vt:lpstr>Tables!Print_Area</vt:lpstr>
      <vt:lpstr>'Combi 4s Performance'!Print_Titles</vt:lpstr>
      <vt:lpstr>'Ladies 4s Performance'!Print_Titles</vt:lpstr>
      <vt:lpstr>'Masters 4s Performance'!Print_Titles</vt:lpstr>
      <vt:lpstr>'Open 4s Performance'!Print_Titles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League Results &amp; Tables</dc:title>
  <dc:subject>League Results &amp; Tables</dc:subject>
  <dc:creator>Nigel</dc:creator>
  <cp:lastModifiedBy>Stuart Smith</cp:lastModifiedBy>
  <cp:lastPrinted>2025-04-15T13:35:46Z</cp:lastPrinted>
  <dcterms:created xsi:type="dcterms:W3CDTF">2017-03-16T09:42:02Z</dcterms:created>
  <dcterms:modified xsi:type="dcterms:W3CDTF">2025-04-17T15:59:35Z</dcterms:modified>
</cp:coreProperties>
</file>