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1Stuart\Badminton\TWBL\League Admin 2024-25\"/>
    </mc:Choice>
  </mc:AlternateContent>
  <xr:revisionPtr revIDLastSave="0" documentId="13_ncr:1_{C3919D20-8937-4F20-ADFF-0D86CD1AA086}" xr6:coauthVersionLast="47" xr6:coauthVersionMax="47" xr10:uidLastSave="{00000000-0000-0000-0000-000000000000}"/>
  <bookViews>
    <workbookView xWindow="1755" yWindow="135" windowWidth="26070" windowHeight="15300" activeTab="1" xr2:uid="{00000000-000D-0000-FFFF-FFFF00000000}"/>
  </bookViews>
  <sheets>
    <sheet name="Results" sheetId="3" r:id="rId1"/>
    <sheet name="Tables" sheetId="2" r:id="rId2"/>
    <sheet name="Combi 4s Performance" sheetId="4" r:id="rId3"/>
    <sheet name="Open 4s Performance" sheetId="5" r:id="rId4"/>
    <sheet name="Masters 4s Performance" sheetId="6" r:id="rId5"/>
    <sheet name="Ladies 4s Performance" sheetId="7" r:id="rId6"/>
  </sheets>
  <definedNames>
    <definedName name="_xlnm.Print_Area" localSheetId="1">Tables!$B$1:$T$30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6" l="1"/>
  <c r="J27" i="6"/>
  <c r="K26" i="6"/>
  <c r="J26" i="6"/>
  <c r="K25" i="6"/>
  <c r="J25" i="6"/>
  <c r="K24" i="6"/>
  <c r="J24" i="6"/>
  <c r="K23" i="6"/>
  <c r="J23" i="6"/>
  <c r="K22" i="6"/>
  <c r="J22" i="6"/>
  <c r="K21" i="6"/>
  <c r="J21" i="6"/>
  <c r="K20" i="6"/>
  <c r="J20" i="6"/>
  <c r="K114" i="5"/>
  <c r="J114" i="5"/>
  <c r="K113" i="5"/>
  <c r="J113" i="5"/>
  <c r="K112" i="5"/>
  <c r="J112" i="5"/>
  <c r="K111" i="5"/>
  <c r="J111" i="5"/>
  <c r="K110" i="5"/>
  <c r="J110" i="5"/>
  <c r="K109" i="5"/>
  <c r="J109" i="5"/>
  <c r="K108" i="5"/>
  <c r="J108" i="5"/>
  <c r="K107" i="5"/>
  <c r="J107" i="5"/>
  <c r="K106" i="5"/>
  <c r="J106" i="5"/>
  <c r="K105" i="5"/>
  <c r="J105" i="5"/>
  <c r="K104" i="5"/>
  <c r="J104" i="5"/>
  <c r="K103" i="5"/>
  <c r="J103" i="5"/>
  <c r="K102" i="5"/>
  <c r="J102" i="5"/>
  <c r="K101" i="5"/>
  <c r="J101" i="5"/>
  <c r="K100" i="5"/>
  <c r="J100" i="5"/>
  <c r="K99" i="5"/>
  <c r="J99" i="5"/>
  <c r="K98" i="5"/>
  <c r="J98" i="5"/>
  <c r="K97" i="5"/>
  <c r="J97" i="5"/>
  <c r="K96" i="5"/>
  <c r="J96" i="5"/>
  <c r="K95" i="5"/>
  <c r="J95" i="5"/>
  <c r="K94" i="5"/>
  <c r="J94" i="5"/>
  <c r="K93" i="5"/>
  <c r="J93" i="5"/>
  <c r="K92" i="5"/>
  <c r="J92" i="5"/>
  <c r="K91" i="5"/>
  <c r="J91" i="5"/>
  <c r="K27" i="7"/>
  <c r="J27" i="7"/>
  <c r="H32" i="7"/>
  <c r="K26" i="7"/>
  <c r="J26" i="7"/>
  <c r="K25" i="7"/>
  <c r="J25" i="7"/>
  <c r="K24" i="7"/>
  <c r="J24" i="7"/>
  <c r="K23" i="7"/>
  <c r="J23" i="7"/>
  <c r="K22" i="7"/>
  <c r="J22" i="7"/>
  <c r="K21" i="7"/>
  <c r="J21" i="7"/>
  <c r="K20" i="7"/>
  <c r="J20" i="7"/>
  <c r="K19" i="6"/>
  <c r="J19" i="6"/>
  <c r="K18" i="6"/>
  <c r="J18" i="6"/>
  <c r="K17" i="6"/>
  <c r="J17" i="6"/>
  <c r="K16" i="6"/>
  <c r="J16" i="6"/>
  <c r="K15" i="6"/>
  <c r="J15" i="6"/>
  <c r="K14" i="6"/>
  <c r="J14" i="6"/>
  <c r="K13" i="6"/>
  <c r="J13" i="6"/>
  <c r="K12" i="6"/>
  <c r="J12" i="6"/>
  <c r="K90" i="5"/>
  <c r="J90" i="5"/>
  <c r="K89" i="5"/>
  <c r="J89" i="5"/>
  <c r="K88" i="5"/>
  <c r="J88" i="5"/>
  <c r="K87" i="5"/>
  <c r="J87" i="5"/>
  <c r="K86" i="5"/>
  <c r="J86" i="5"/>
  <c r="K85" i="5"/>
  <c r="J85" i="5"/>
  <c r="K84" i="5"/>
  <c r="J84" i="5"/>
  <c r="K83" i="5"/>
  <c r="J83" i="5"/>
  <c r="K82" i="5"/>
  <c r="J82" i="5"/>
  <c r="K81" i="5"/>
  <c r="J81" i="5"/>
  <c r="K80" i="5"/>
  <c r="J80" i="5"/>
  <c r="K79" i="5"/>
  <c r="J79" i="5"/>
  <c r="J78" i="5"/>
  <c r="K78" i="5"/>
  <c r="K77" i="5"/>
  <c r="J77" i="5"/>
  <c r="K76" i="5"/>
  <c r="J76" i="5"/>
  <c r="K75" i="5"/>
  <c r="J75" i="5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I93" i="4"/>
  <c r="G93" i="4"/>
  <c r="K19" i="7"/>
  <c r="J19" i="7"/>
  <c r="K18" i="7"/>
  <c r="J18" i="7"/>
  <c r="K17" i="7"/>
  <c r="J17" i="7"/>
  <c r="K16" i="7"/>
  <c r="J16" i="7"/>
  <c r="K15" i="7"/>
  <c r="J15" i="7"/>
  <c r="K14" i="7"/>
  <c r="J14" i="7"/>
  <c r="K13" i="7"/>
  <c r="J13" i="7"/>
  <c r="K12" i="7"/>
  <c r="J12" i="7"/>
  <c r="K67" i="5"/>
  <c r="K74" i="5"/>
  <c r="J74" i="5"/>
  <c r="K73" i="5"/>
  <c r="J73" i="5"/>
  <c r="K72" i="5"/>
  <c r="J72" i="5"/>
  <c r="K71" i="5"/>
  <c r="J71" i="5"/>
  <c r="K70" i="5"/>
  <c r="J70" i="5"/>
  <c r="K69" i="5"/>
  <c r="J69" i="5"/>
  <c r="K68" i="5"/>
  <c r="J68" i="5"/>
  <c r="J67" i="5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11" i="7"/>
  <c r="J11" i="7"/>
  <c r="K10" i="7"/>
  <c r="J10" i="7"/>
  <c r="K9" i="7"/>
  <c r="J9" i="7"/>
  <c r="K8" i="7"/>
  <c r="J8" i="7"/>
  <c r="K7" i="7"/>
  <c r="J7" i="7"/>
  <c r="K6" i="7"/>
  <c r="J6" i="7"/>
  <c r="K5" i="7"/>
  <c r="J5" i="7"/>
  <c r="K4" i="7"/>
  <c r="J4" i="7"/>
  <c r="K11" i="6"/>
  <c r="J11" i="6"/>
  <c r="K10" i="6"/>
  <c r="J10" i="6"/>
  <c r="K9" i="6"/>
  <c r="J9" i="6"/>
  <c r="K8" i="6"/>
  <c r="J8" i="6"/>
  <c r="K7" i="6"/>
  <c r="J7" i="6"/>
  <c r="K6" i="6"/>
  <c r="J6" i="6"/>
  <c r="J5" i="6"/>
  <c r="K5" i="6"/>
  <c r="K4" i="6"/>
  <c r="J4" i="6"/>
  <c r="K66" i="5"/>
  <c r="J66" i="5"/>
  <c r="K65" i="5"/>
  <c r="J65" i="5"/>
  <c r="K64" i="5"/>
  <c r="J64" i="5"/>
  <c r="K63" i="5"/>
  <c r="J63" i="5"/>
  <c r="K62" i="5"/>
  <c r="J62" i="5"/>
  <c r="K61" i="5"/>
  <c r="J61" i="5"/>
  <c r="K60" i="5"/>
  <c r="J60" i="5"/>
  <c r="K59" i="5"/>
  <c r="J59" i="5"/>
  <c r="K53" i="5"/>
  <c r="K58" i="5"/>
  <c r="J58" i="5"/>
  <c r="K57" i="5"/>
  <c r="J57" i="5"/>
  <c r="K56" i="5"/>
  <c r="J56" i="5"/>
  <c r="K55" i="5"/>
  <c r="J55" i="5"/>
  <c r="K54" i="5"/>
  <c r="J54" i="5"/>
  <c r="J53" i="5"/>
  <c r="K52" i="5"/>
  <c r="J52" i="5"/>
  <c r="K51" i="5"/>
  <c r="J51" i="5"/>
  <c r="K50" i="5"/>
  <c r="J50" i="5"/>
  <c r="K49" i="5"/>
  <c r="J49" i="5"/>
  <c r="K48" i="5"/>
  <c r="J48" i="5"/>
  <c r="K47" i="5"/>
  <c r="J47" i="5"/>
  <c r="K46" i="5"/>
  <c r="J46" i="5"/>
  <c r="K45" i="5"/>
  <c r="J45" i="5"/>
  <c r="K44" i="5"/>
  <c r="J44" i="5"/>
  <c r="K43" i="5"/>
  <c r="J43" i="5"/>
  <c r="K53" i="4"/>
  <c r="K58" i="4"/>
  <c r="J58" i="4"/>
  <c r="K57" i="4"/>
  <c r="J57" i="4"/>
  <c r="K56" i="4"/>
  <c r="J56" i="4"/>
  <c r="K55" i="4"/>
  <c r="J55" i="4"/>
  <c r="K54" i="4"/>
  <c r="J54" i="4"/>
  <c r="J53" i="4"/>
  <c r="K52" i="4"/>
  <c r="J52" i="4"/>
  <c r="K51" i="4"/>
  <c r="J51" i="4"/>
  <c r="J38" i="5"/>
  <c r="K42" i="5"/>
  <c r="J42" i="5"/>
  <c r="K41" i="5"/>
  <c r="J41" i="5"/>
  <c r="K40" i="5"/>
  <c r="J40" i="5"/>
  <c r="K39" i="5"/>
  <c r="J39" i="5"/>
  <c r="K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J26" i="5"/>
  <c r="J25" i="5"/>
  <c r="K26" i="5"/>
  <c r="K25" i="5"/>
  <c r="K24" i="5"/>
  <c r="J24" i="5"/>
  <c r="K23" i="5"/>
  <c r="J23" i="5"/>
  <c r="K22" i="5"/>
  <c r="J22" i="5"/>
  <c r="G116" i="5"/>
  <c r="K21" i="5"/>
  <c r="J21" i="5"/>
  <c r="K20" i="5"/>
  <c r="J20" i="5"/>
  <c r="K19" i="5"/>
  <c r="J19" i="5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18" i="5"/>
  <c r="J18" i="5"/>
  <c r="K17" i="5"/>
  <c r="J17" i="5"/>
  <c r="K16" i="5"/>
  <c r="J16" i="5"/>
  <c r="K15" i="5"/>
  <c r="J15" i="5"/>
  <c r="K14" i="5"/>
  <c r="J14" i="5"/>
  <c r="K13" i="5"/>
  <c r="J13" i="5"/>
  <c r="K12" i="5"/>
  <c r="J12" i="5"/>
  <c r="K11" i="5"/>
  <c r="J11" i="5"/>
  <c r="I32" i="7"/>
  <c r="G32" i="7"/>
  <c r="F32" i="7"/>
  <c r="I29" i="6"/>
  <c r="H29" i="6"/>
  <c r="G29" i="6"/>
  <c r="F29" i="6"/>
  <c r="H116" i="5"/>
  <c r="I116" i="5"/>
  <c r="F116" i="5"/>
  <c r="K39" i="4"/>
  <c r="J35" i="4"/>
  <c r="K42" i="4"/>
  <c r="J42" i="4"/>
  <c r="K41" i="4"/>
  <c r="J41" i="4"/>
  <c r="K40" i="4"/>
  <c r="J40" i="4"/>
  <c r="J39" i="4"/>
  <c r="K38" i="4"/>
  <c r="J38" i="4"/>
  <c r="K37" i="4"/>
  <c r="J37" i="4"/>
  <c r="K36" i="4"/>
  <c r="J36" i="4"/>
  <c r="K35" i="4"/>
  <c r="K10" i="5"/>
  <c r="J10" i="5"/>
  <c r="K9" i="5"/>
  <c r="J9" i="5"/>
  <c r="K8" i="5"/>
  <c r="J8" i="5"/>
  <c r="K7" i="5"/>
  <c r="J7" i="5"/>
  <c r="K6" i="5"/>
  <c r="J6" i="5"/>
  <c r="K5" i="5"/>
  <c r="J5" i="5"/>
  <c r="K4" i="5"/>
  <c r="J4" i="5"/>
  <c r="K3" i="5"/>
  <c r="J3" i="5"/>
  <c r="K28" i="4"/>
  <c r="K34" i="4"/>
  <c r="J34" i="4"/>
  <c r="K33" i="4"/>
  <c r="J33" i="4"/>
  <c r="K32" i="4"/>
  <c r="J32" i="4"/>
  <c r="K31" i="4"/>
  <c r="J31" i="4"/>
  <c r="K30" i="4"/>
  <c r="J30" i="4"/>
  <c r="K29" i="4"/>
  <c r="J29" i="4"/>
  <c r="J28" i="4"/>
  <c r="K27" i="4"/>
  <c r="J27" i="4"/>
  <c r="K20" i="4"/>
  <c r="K26" i="4"/>
  <c r="J26" i="4"/>
  <c r="K25" i="4"/>
  <c r="J25" i="4"/>
  <c r="K24" i="4"/>
  <c r="J24" i="4"/>
  <c r="K23" i="4"/>
  <c r="J23" i="4"/>
  <c r="K22" i="4"/>
  <c r="J22" i="4"/>
  <c r="K21" i="4"/>
  <c r="J21" i="4"/>
  <c r="J20" i="4"/>
  <c r="K19" i="4"/>
  <c r="J19" i="4"/>
  <c r="K10" i="4"/>
  <c r="G92" i="4"/>
  <c r="H92" i="4"/>
  <c r="I92" i="4"/>
  <c r="F92" i="4"/>
  <c r="J10" i="4"/>
  <c r="K9" i="4"/>
  <c r="J9" i="4"/>
  <c r="K8" i="4"/>
  <c r="J8" i="4"/>
  <c r="K7" i="4"/>
  <c r="J7" i="4"/>
  <c r="K6" i="4"/>
  <c r="J6" i="4"/>
  <c r="K5" i="4"/>
  <c r="J5" i="4"/>
  <c r="K4" i="4"/>
  <c r="J4" i="4"/>
  <c r="K3" i="4"/>
  <c r="J3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I33" i="7" l="1"/>
  <c r="G33" i="7"/>
  <c r="I30" i="6"/>
  <c r="G30" i="6"/>
  <c r="G117" i="5"/>
  <c r="I117" i="5"/>
  <c r="J32" i="7"/>
  <c r="K32" i="7"/>
  <c r="K29" i="6"/>
  <c r="J29" i="6"/>
  <c r="K116" i="5"/>
  <c r="J116" i="5"/>
  <c r="J92" i="4"/>
  <c r="K92" i="4"/>
  <c r="K33" i="7" l="1"/>
  <c r="K30" i="6"/>
  <c r="K117" i="5"/>
  <c r="K93" i="4"/>
</calcChain>
</file>

<file path=xl/sharedStrings.xml><?xml version="1.0" encoding="utf-8"?>
<sst xmlns="http://schemas.openxmlformats.org/spreadsheetml/2006/main" count="1346" uniqueCount="208">
  <si>
    <t>Division</t>
  </si>
  <si>
    <t>Date</t>
  </si>
  <si>
    <t>Pld</t>
  </si>
  <si>
    <t>Won</t>
  </si>
  <si>
    <t>Drawn</t>
  </si>
  <si>
    <t>Lost</t>
  </si>
  <si>
    <t>For</t>
  </si>
  <si>
    <t>Against</t>
  </si>
  <si>
    <t>Points</t>
  </si>
  <si>
    <t>Angel Centre A</t>
  </si>
  <si>
    <t>Sevenoaks</t>
  </si>
  <si>
    <t>Angel Centre B</t>
  </si>
  <si>
    <t>Langton Green</t>
  </si>
  <si>
    <t>Wadhurst</t>
  </si>
  <si>
    <t>Angel Centre</t>
  </si>
  <si>
    <t>Hildenborough</t>
  </si>
  <si>
    <t>St. John's</t>
  </si>
  <si>
    <t>Ladies' 4s Premier</t>
  </si>
  <si>
    <t>Trident</t>
  </si>
  <si>
    <t>(KEY: *=incomplete team, c=conceded match, r=conceded by default as result card was never submitted)</t>
  </si>
  <si>
    <t xml:space="preserve">   </t>
  </si>
  <si>
    <t>Westborough</t>
  </si>
  <si>
    <t>Open 4s</t>
  </si>
  <si>
    <t>Masters' 50+</t>
  </si>
  <si>
    <t>Combination 4s</t>
  </si>
  <si>
    <t>Ladies' 4s</t>
  </si>
  <si>
    <t>Masters' 50</t>
  </si>
  <si>
    <t>Rubbers</t>
  </si>
  <si>
    <t>Player</t>
  </si>
  <si>
    <t>Played</t>
  </si>
  <si>
    <t xml:space="preserve">Games </t>
  </si>
  <si>
    <t xml:space="preserve">Points </t>
  </si>
  <si>
    <t>Opponents</t>
  </si>
  <si>
    <t>Team</t>
  </si>
  <si>
    <t>Suzanne Young</t>
  </si>
  <si>
    <t>Handicap</t>
  </si>
  <si>
    <t>Andrea Cornwell</t>
  </si>
  <si>
    <t>Steve Cook</t>
  </si>
  <si>
    <t>Peter Dyer</t>
  </si>
  <si>
    <t>Sheena Carlton</t>
  </si>
  <si>
    <t>Claire Donegan</t>
  </si>
  <si>
    <t>Mike Poupard</t>
  </si>
  <si>
    <t>Andy Jones</t>
  </si>
  <si>
    <t>Games</t>
  </si>
  <si>
    <t>Cross check</t>
  </si>
  <si>
    <t>Amberlea Cunliffe-Jones</t>
  </si>
  <si>
    <t>Dany Grade</t>
  </si>
  <si>
    <t>Harry Wang</t>
  </si>
  <si>
    <t>Mark Waterman</t>
  </si>
  <si>
    <t>Sue Couchane</t>
  </si>
  <si>
    <t>Sue Pratt</t>
  </si>
  <si>
    <t>Anthony Leung</t>
  </si>
  <si>
    <t>Mark van den Berg</t>
  </si>
  <si>
    <t>Angels A</t>
  </si>
  <si>
    <t>Angels B</t>
  </si>
  <si>
    <t>3 v 3</t>
  </si>
  <si>
    <t>6 v 0</t>
  </si>
  <si>
    <t>Prashant Baliga</t>
  </si>
  <si>
    <t>Jobin Scaria</t>
  </si>
  <si>
    <t>Larry Ridges</t>
  </si>
  <si>
    <t>Kulbir Minhas</t>
  </si>
  <si>
    <t>0 v 6</t>
  </si>
  <si>
    <t>Julie Kempson</t>
  </si>
  <si>
    <t>David Holloway</t>
  </si>
  <si>
    <t>Angel B</t>
  </si>
  <si>
    <t>Angel A</t>
  </si>
  <si>
    <t>5 v 1</t>
  </si>
  <si>
    <t>Caroline Edmunds</t>
  </si>
  <si>
    <t>Vicky Crichton</t>
  </si>
  <si>
    <t>Matthew Saunders</t>
  </si>
  <si>
    <t>Kenneth Lai</t>
  </si>
  <si>
    <t>Nicolas Deslandes</t>
  </si>
  <si>
    <t>Tony Fan</t>
  </si>
  <si>
    <t>Match</t>
  </si>
  <si>
    <t>St. John's vs Angel Centre</t>
  </si>
  <si>
    <t>Trident vs Sevenoaks</t>
  </si>
  <si>
    <t>Langton Green vs Angel Centre</t>
  </si>
  <si>
    <t>Angel Centre A vs Sevenoaks</t>
  </si>
  <si>
    <t>Sevenoaks vs Trident</t>
  </si>
  <si>
    <t>Sevenoaks vs Angel Centre A</t>
  </si>
  <si>
    <t>Langton Green vs Trident</t>
  </si>
  <si>
    <t>Angel Centre A vs Trident</t>
  </si>
  <si>
    <t>Angel Centre vs Langton Green</t>
  </si>
  <si>
    <t>Trident vs Angel Centre A</t>
  </si>
  <si>
    <t>Hildenborough vs Sevenoaks</t>
  </si>
  <si>
    <t>Trident vs Langton Green</t>
  </si>
  <si>
    <t>St. John's vs Trident</t>
  </si>
  <si>
    <t>Angel Centre B vs Sevenoaks</t>
  </si>
  <si>
    <t>Angel Centre B vs Trident</t>
  </si>
  <si>
    <t>Langton Green vs Westborough</t>
  </si>
  <si>
    <t>Angel Centre vs Sevenoaks</t>
  </si>
  <si>
    <t>Westborough vs Langton Green</t>
  </si>
  <si>
    <t>Angel Centre vs Trident</t>
  </si>
  <si>
    <t>Angel Centre vs Hildenborough</t>
  </si>
  <si>
    <t>Westborough vs Angel Centre</t>
  </si>
  <si>
    <t>Langton Green vs Angel Centre A</t>
  </si>
  <si>
    <t>Sevenoaks vs Langton Green</t>
  </si>
  <si>
    <t>St. John's vs Hildenborough</t>
  </si>
  <si>
    <t>Trident vs Hildenborough</t>
  </si>
  <si>
    <t>Sevenoaks vs Hildenborough</t>
  </si>
  <si>
    <t>Trident vs St. John's</t>
  </si>
  <si>
    <t>Hildenborough vs St. John's</t>
  </si>
  <si>
    <t>Trident vs Angel Centre B</t>
  </si>
  <si>
    <t>Langton Green vs Hildenborough</t>
  </si>
  <si>
    <t>Trident vs Angel Centre</t>
  </si>
  <si>
    <t>Angel Centre A vs Langton Green</t>
  </si>
  <si>
    <t>St. John's vs Langton Green</t>
  </si>
  <si>
    <t>Sevenoaks vs St. John's</t>
  </si>
  <si>
    <t>Langton Green vs Sevenoaks</t>
  </si>
  <si>
    <t>Langton Green vs St. John's</t>
  </si>
  <si>
    <t>Sevenoaks vs Wadhurst</t>
  </si>
  <si>
    <t>Trident vs Wadhurst</t>
  </si>
  <si>
    <t>Wadhurst vs Angel Centre</t>
  </si>
  <si>
    <t>Langton Green vs Wadhurst</t>
  </si>
  <si>
    <t>Wadhurst vs Langton Green</t>
  </si>
  <si>
    <t>Wadhurst vs Angel Centre A</t>
  </si>
  <si>
    <t>Westborough vs Wadhurst</t>
  </si>
  <si>
    <t>St. John's vs Wadhurst</t>
  </si>
  <si>
    <t>Wadhurst vs Sevenoaks</t>
  </si>
  <si>
    <t>Angel Centre B vs Wadhurst</t>
  </si>
  <si>
    <t>Wadhurst vs Trident</t>
  </si>
  <si>
    <t>Wadhurst vs Hildenborough</t>
  </si>
  <si>
    <t>Angel Centre vs Wadhurst</t>
  </si>
  <si>
    <t>Wadhurst vs St. John's</t>
  </si>
  <si>
    <t>Angel Centre A vs Wadhurst</t>
  </si>
  <si>
    <t>Matches to be played</t>
  </si>
  <si>
    <t xml:space="preserve">Masters' 50+ </t>
  </si>
  <si>
    <t xml:space="preserve">Open 4s </t>
  </si>
  <si>
    <t xml:space="preserve">Combination 4s </t>
  </si>
  <si>
    <t xml:space="preserve">Ladies' 4s </t>
  </si>
  <si>
    <t>1 v 5</t>
  </si>
  <si>
    <t>2 v 4</t>
  </si>
  <si>
    <t>Wendy Jones</t>
  </si>
  <si>
    <t>Irene Campbell</t>
  </si>
  <si>
    <t>Chris Jones</t>
  </si>
  <si>
    <t>Dereck Walker</t>
  </si>
  <si>
    <t>Peter Richardson</t>
  </si>
  <si>
    <t>Mike Barnes</t>
  </si>
  <si>
    <t>Robert Hatch</t>
  </si>
  <si>
    <t>Stuart Cowley</t>
  </si>
  <si>
    <t>Brian Gasking</t>
  </si>
  <si>
    <t>William Brown</t>
  </si>
  <si>
    <t>Eddie Tat On</t>
  </si>
  <si>
    <t>4 v 2</t>
  </si>
  <si>
    <t>Helen Saunders</t>
  </si>
  <si>
    <t>Usha Moran</t>
  </si>
  <si>
    <t>Adrian Wilkinson</t>
  </si>
  <si>
    <t>Peter Richards</t>
  </si>
  <si>
    <t>TUNBRIDGE WELLS BADMINTON LEAGUE RESULTS &amp; TABLES: 4s Events</t>
  </si>
  <si>
    <t>Thursday 20-Mar-25</t>
  </si>
  <si>
    <t>Masters</t>
  </si>
  <si>
    <t>Sevenoaks v Wadhurst</t>
  </si>
  <si>
    <t>Alex Campbell</t>
  </si>
  <si>
    <t>Philip White</t>
  </si>
  <si>
    <t>Hendrik Schwartz</t>
  </si>
  <si>
    <t>David Kelly</t>
  </si>
  <si>
    <t>Christian Denman</t>
  </si>
  <si>
    <t xml:space="preserve">Peter Richards </t>
  </si>
  <si>
    <t>Mark Van Den Berg</t>
  </si>
  <si>
    <t>rearranged from 17/10/24</t>
  </si>
  <si>
    <t>rearranged from 01/11/24</t>
  </si>
  <si>
    <t>rearranged from 3/10//24</t>
  </si>
  <si>
    <t>John Horton</t>
  </si>
  <si>
    <t>Janina Cookson</t>
  </si>
  <si>
    <t>Angel Centre v Sevenoaks</t>
  </si>
  <si>
    <t>rearranged from 1/11/24</t>
  </si>
  <si>
    <t>Brian Lovell</t>
  </si>
  <si>
    <t>Ben Dames</t>
  </si>
  <si>
    <t>Greg Horsley</t>
  </si>
  <si>
    <t>Gerry Goldsmith</t>
  </si>
  <si>
    <t>Rakesh Krishnakumar</t>
  </si>
  <si>
    <t>Matthew Maxwell</t>
  </si>
  <si>
    <t>Ruil Thomas</t>
  </si>
  <si>
    <t>Andrew Martin</t>
  </si>
  <si>
    <t>Henry Murfin</t>
  </si>
  <si>
    <t>Pauline Bunton</t>
  </si>
  <si>
    <t>Neal King</t>
  </si>
  <si>
    <t>Ladies 4s</t>
  </si>
  <si>
    <t>Amberlea Cunliffe Jones</t>
  </si>
  <si>
    <t>Sarah Wordsworth</t>
  </si>
  <si>
    <t>Donna Tolhurst</t>
  </si>
  <si>
    <t>Charlotte Brown</t>
  </si>
  <si>
    <t>Ann Wellington</t>
  </si>
  <si>
    <t>Uma Kunam</t>
  </si>
  <si>
    <t>Viv Johnson</t>
  </si>
  <si>
    <t>Stuart Smith</t>
  </si>
  <si>
    <t>Niranjan Jeyakumar</t>
  </si>
  <si>
    <t>Marilyn Banfield</t>
  </si>
  <si>
    <t>Helen Gaines</t>
  </si>
  <si>
    <t>Irene Cambell</t>
  </si>
  <si>
    <t>Sheila Jones</t>
  </si>
  <si>
    <t>Angie Walker</t>
  </si>
  <si>
    <t>Matthew Fenner</t>
  </si>
  <si>
    <t>David Langborne</t>
  </si>
  <si>
    <t>Jay Jindal</t>
  </si>
  <si>
    <t>Ying-Wei Lai</t>
  </si>
  <si>
    <t>Mike Wickham</t>
  </si>
  <si>
    <t>Angels</t>
  </si>
  <si>
    <t>Christa Moule</t>
  </si>
  <si>
    <t>Diana Peter</t>
  </si>
  <si>
    <t>Lisa Hills</t>
  </si>
  <si>
    <t>Reece (ineligible)</t>
  </si>
  <si>
    <t>*14</t>
  </si>
  <si>
    <t>Leo Peng Li</t>
  </si>
  <si>
    <t>Luke Martin-Farla</t>
  </si>
  <si>
    <t>Richard Jones</t>
  </si>
  <si>
    <t>2024 - 2025 Season (updated 16/12/24)</t>
  </si>
  <si>
    <t>TUNBRIDGE WELLS BADMINTON LEAGUE RESULTS &amp; TABLES:  All 4s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</si>
</sst>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-mmm"/>
    <numFmt numFmtId="165" formatCode="dddd\ dd\-mmm\-yy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shrinkToFit="1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5" fontId="2" fillId="0" borderId="2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 shrinkToFit="1"/>
    </xf>
    <xf numFmtId="164" fontId="2" fillId="4" borderId="0" xfId="0" applyNumberFormat="1" applyFont="1" applyFill="1" applyAlignment="1">
      <alignment horizontal="left"/>
    </xf>
    <xf numFmtId="0" fontId="0" fillId="0" borderId="1" xfId="0" applyBorder="1" applyAlignment="1">
      <alignment horizontal="center"/>
    </xf>
    <xf numFmtId="164" fontId="2" fillId="4" borderId="0" xfId="0" applyNumberFormat="1" applyFont="1" applyFill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64" fontId="4" fillId="3" borderId="5" xfId="0" applyNumberFormat="1" applyFont="1" applyFill="1" applyBorder="1" applyAlignment="1">
      <alignment horizontal="left" vertical="center" shrinkToFit="1"/>
    </xf>
    <xf numFmtId="164" fontId="4" fillId="3" borderId="10" xfId="0" applyNumberFormat="1" applyFont="1" applyFill="1" applyBorder="1" applyAlignment="1">
      <alignment horizontal="left" vertical="center" shrinkToFit="1"/>
    </xf>
    <xf numFmtId="164" fontId="4" fillId="3" borderId="6" xfId="0" applyNumberFormat="1" applyFont="1" applyFill="1" applyBorder="1" applyAlignment="1">
      <alignment horizontal="left" vertical="center" shrinkToFit="1"/>
    </xf>
    <xf numFmtId="164" fontId="2" fillId="4" borderId="0" xfId="0" applyNumberFormat="1" applyFont="1" applyFill="1" applyAlignment="1">
      <alignment horizontal="left"/>
    </xf>
    <xf numFmtId="164" fontId="2" fillId="0" borderId="0" xfId="0" applyNumberFormat="1" applyFont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03"/>
  <sheetViews>
    <sheetView showGridLines="0" showRowColHeaders="0" topLeftCell="B1" zoomScaleNormal="100" workbookViewId="0">
      <selection activeCell="C1" sqref="C1:G1"/>
    </sheetView>
  </sheetViews>
  <sheetFormatPr defaultColWidth="25.5703125" defaultRowHeight="15" x14ac:dyDescent="0.25"/>
  <cols>
    <col min="1" max="1" width="2" hidden="1" customWidth="1"/>
    <col min="2" max="2" width="2" customWidth="1"/>
    <col min="3" max="3" width="22.85546875" style="6" customWidth="1"/>
    <col min="4" max="7" width="18.85546875" style="5" customWidth="1"/>
    <col min="8" max="228" width="18.85546875" customWidth="1"/>
    <col min="229" max="674" width="18.5703125" customWidth="1"/>
    <col min="675" max="718" width="14.5703125" customWidth="1"/>
    <col min="719" max="720" width="12.5703125" customWidth="1"/>
  </cols>
  <sheetData>
    <row r="1" spans="3:10" ht="15.75" x14ac:dyDescent="0.25">
      <c r="C1" s="41" t="s">
        <v>207</v>
      </c>
      <c r="D1" s="41"/>
      <c r="E1" s="41"/>
      <c r="F1" s="41"/>
      <c r="G1" s="41"/>
    </row>
    <row r="2" spans="3:10" x14ac:dyDescent="0.25">
      <c r="C2" s="1"/>
      <c r="D2" s="1"/>
      <c r="E2" s="1"/>
      <c r="F2" s="1"/>
      <c r="G2" s="2"/>
    </row>
    <row r="3" spans="3:10" x14ac:dyDescent="0.25">
      <c r="C3" s="29" t="s">
        <v>206</v>
      </c>
      <c r="D3" s="31"/>
      <c r="E3" s="4" t="s">
        <v>19</v>
      </c>
    </row>
    <row r="5" spans="3:10" x14ac:dyDescent="0.25">
      <c r="H5" s="5"/>
      <c r="I5" s="5"/>
      <c r="J5" s="5"/>
    </row>
    <row r="6" spans="3:10" x14ac:dyDescent="0.25">
      <c r="C6" s="28" t="s">
        <v>17</v>
      </c>
      <c r="D6" s="8" t="s">
        <v>14</v>
      </c>
      <c r="E6" s="8" t="s">
        <v>12</v>
      </c>
      <c r="F6" s="8" t="s">
        <v>13</v>
      </c>
      <c r="G6" s="8" t="s">
        <v>21</v>
      </c>
      <c r="H6" s="5"/>
      <c r="I6" s="5"/>
      <c r="J6" s="5"/>
    </row>
    <row r="7" spans="3:10" x14ac:dyDescent="0.25">
      <c r="C7" s="9" t="s">
        <v>14</v>
      </c>
      <c r="D7" s="10"/>
      <c r="E7" s="8"/>
      <c r="F7" s="8"/>
      <c r="G7" s="8" t="s">
        <v>66</v>
      </c>
      <c r="H7" s="5"/>
      <c r="I7" s="5"/>
      <c r="J7" s="5"/>
    </row>
    <row r="8" spans="3:10" x14ac:dyDescent="0.25">
      <c r="C8" s="9" t="s">
        <v>12</v>
      </c>
      <c r="D8" s="8"/>
      <c r="E8" s="10"/>
      <c r="F8" s="8"/>
      <c r="G8" s="8">
        <v>45674</v>
      </c>
      <c r="H8" s="5"/>
      <c r="I8" s="5"/>
      <c r="J8" s="5"/>
    </row>
    <row r="9" spans="3:10" x14ac:dyDescent="0.25">
      <c r="C9" s="9" t="s">
        <v>13</v>
      </c>
      <c r="D9" s="8">
        <v>45677</v>
      </c>
      <c r="E9" s="8" t="s">
        <v>56</v>
      </c>
      <c r="F9" s="10"/>
      <c r="G9" s="8" t="s">
        <v>143</v>
      </c>
      <c r="H9" s="5"/>
      <c r="I9" s="5"/>
      <c r="J9" s="5"/>
    </row>
    <row r="10" spans="3:10" x14ac:dyDescent="0.25">
      <c r="C10" s="9" t="s">
        <v>21</v>
      </c>
      <c r="D10" s="8"/>
      <c r="E10" s="8">
        <v>45684</v>
      </c>
      <c r="F10" s="8">
        <v>45670</v>
      </c>
      <c r="G10" s="10"/>
      <c r="H10" s="5"/>
      <c r="I10" s="5"/>
      <c r="J10" s="5"/>
    </row>
    <row r="11" spans="3:10" x14ac:dyDescent="0.25">
      <c r="H11" s="5"/>
      <c r="I11" s="5"/>
      <c r="J11" s="5"/>
    </row>
    <row r="12" spans="3:10" x14ac:dyDescent="0.25">
      <c r="C12" s="28" t="s">
        <v>22</v>
      </c>
      <c r="D12" s="8" t="s">
        <v>14</v>
      </c>
      <c r="E12" s="8" t="s">
        <v>15</v>
      </c>
      <c r="F12" s="8" t="s">
        <v>12</v>
      </c>
      <c r="G12" s="8" t="s">
        <v>10</v>
      </c>
      <c r="H12" s="8" t="s">
        <v>16</v>
      </c>
      <c r="I12" s="8" t="s">
        <v>18</v>
      </c>
      <c r="J12" s="8" t="s">
        <v>13</v>
      </c>
    </row>
    <row r="13" spans="3:10" x14ac:dyDescent="0.25">
      <c r="C13" s="9" t="s">
        <v>14</v>
      </c>
      <c r="D13" s="10"/>
      <c r="E13" s="8"/>
      <c r="F13" s="8" t="s">
        <v>66</v>
      </c>
      <c r="G13" s="8">
        <v>45681</v>
      </c>
      <c r="H13" s="8" t="s">
        <v>56</v>
      </c>
      <c r="I13" s="8">
        <v>45688</v>
      </c>
      <c r="J13" s="8"/>
    </row>
    <row r="14" spans="3:10" x14ac:dyDescent="0.25">
      <c r="C14" s="9" t="s">
        <v>15</v>
      </c>
      <c r="D14" s="8" t="s">
        <v>131</v>
      </c>
      <c r="E14" s="10"/>
      <c r="F14" s="8" t="s">
        <v>56</v>
      </c>
      <c r="G14" s="8">
        <v>45660</v>
      </c>
      <c r="H14" s="8"/>
      <c r="I14" s="8" t="s">
        <v>131</v>
      </c>
      <c r="J14" s="8" t="s">
        <v>143</v>
      </c>
    </row>
    <row r="15" spans="3:10" x14ac:dyDescent="0.25">
      <c r="C15" s="9" t="s">
        <v>12</v>
      </c>
      <c r="D15" s="8" t="s">
        <v>131</v>
      </c>
      <c r="E15" s="8"/>
      <c r="F15" s="10"/>
      <c r="G15" s="8"/>
      <c r="H15" s="8"/>
      <c r="I15" s="8" t="s">
        <v>131</v>
      </c>
      <c r="J15" s="8" t="s">
        <v>131</v>
      </c>
    </row>
    <row r="16" spans="3:10" x14ac:dyDescent="0.25">
      <c r="C16" s="9" t="s">
        <v>10</v>
      </c>
      <c r="D16" s="8" t="s">
        <v>55</v>
      </c>
      <c r="E16" s="8"/>
      <c r="F16" s="8"/>
      <c r="G16" s="10"/>
      <c r="H16" s="8"/>
      <c r="I16" s="8" t="s">
        <v>66</v>
      </c>
      <c r="J16" s="8"/>
    </row>
    <row r="17" spans="3:10" x14ac:dyDescent="0.25">
      <c r="C17" s="9" t="s">
        <v>16</v>
      </c>
      <c r="D17" s="8"/>
      <c r="E17" s="8"/>
      <c r="F17" s="8"/>
      <c r="G17" s="8" t="s">
        <v>55</v>
      </c>
      <c r="H17" s="10"/>
      <c r="I17" s="8">
        <v>45666</v>
      </c>
      <c r="J17" s="8">
        <v>45673</v>
      </c>
    </row>
    <row r="18" spans="3:10" x14ac:dyDescent="0.25">
      <c r="C18" s="9" t="s">
        <v>18</v>
      </c>
      <c r="D18" s="8"/>
      <c r="E18" s="8"/>
      <c r="F18" s="8">
        <v>45676</v>
      </c>
      <c r="G18" s="8"/>
      <c r="H18" s="8"/>
      <c r="I18" s="10"/>
      <c r="J18" s="8"/>
    </row>
    <row r="19" spans="3:10" x14ac:dyDescent="0.25">
      <c r="C19" s="9" t="s">
        <v>13</v>
      </c>
      <c r="D19" s="8" t="s">
        <v>143</v>
      </c>
      <c r="E19" s="8"/>
      <c r="F19" s="8" t="s">
        <v>55</v>
      </c>
      <c r="G19" s="8"/>
      <c r="H19" s="8"/>
      <c r="I19" s="8"/>
      <c r="J19" s="10"/>
    </row>
    <row r="20" spans="3:10" x14ac:dyDescent="0.25">
      <c r="H20" s="5"/>
      <c r="I20" s="5"/>
      <c r="J20" s="5"/>
    </row>
    <row r="21" spans="3:10" x14ac:dyDescent="0.25">
      <c r="C21" s="28" t="s">
        <v>23</v>
      </c>
      <c r="D21" s="8" t="s">
        <v>14</v>
      </c>
      <c r="E21" s="8" t="s">
        <v>10</v>
      </c>
      <c r="F21" s="8" t="s">
        <v>18</v>
      </c>
      <c r="G21" s="8" t="s">
        <v>13</v>
      </c>
      <c r="J21" s="5"/>
    </row>
    <row r="22" spans="3:10" x14ac:dyDescent="0.25">
      <c r="C22" s="9" t="s">
        <v>14</v>
      </c>
      <c r="D22" s="10"/>
      <c r="E22" s="8"/>
      <c r="F22" s="8" t="s">
        <v>131</v>
      </c>
      <c r="G22" s="8"/>
      <c r="J22" s="5"/>
    </row>
    <row r="23" spans="3:10" x14ac:dyDescent="0.25">
      <c r="C23" s="9" t="s">
        <v>10</v>
      </c>
      <c r="D23" s="8"/>
      <c r="E23" s="10"/>
      <c r="F23" s="8" t="s">
        <v>55</v>
      </c>
      <c r="G23" s="8"/>
      <c r="J23" s="5"/>
    </row>
    <row r="24" spans="3:10" x14ac:dyDescent="0.25">
      <c r="C24" s="9" t="s">
        <v>18</v>
      </c>
      <c r="D24" s="8" t="s">
        <v>143</v>
      </c>
      <c r="E24" s="8"/>
      <c r="F24" s="10"/>
      <c r="G24" s="8"/>
      <c r="J24" s="5"/>
    </row>
    <row r="25" spans="3:10" x14ac:dyDescent="0.25">
      <c r="C25" s="9" t="s">
        <v>13</v>
      </c>
      <c r="D25" s="8"/>
      <c r="E25" s="8"/>
      <c r="F25" s="8"/>
      <c r="G25" s="10"/>
      <c r="J25" s="5"/>
    </row>
    <row r="26" spans="3:10" x14ac:dyDescent="0.25">
      <c r="H26" s="5"/>
      <c r="I26" s="5"/>
      <c r="J26" s="5"/>
    </row>
    <row r="27" spans="3:10" x14ac:dyDescent="0.25">
      <c r="C27" s="28" t="s">
        <v>24</v>
      </c>
      <c r="D27" s="8" t="s">
        <v>9</v>
      </c>
      <c r="E27" s="8" t="s">
        <v>11</v>
      </c>
      <c r="F27" s="8" t="s">
        <v>12</v>
      </c>
      <c r="G27" s="8" t="s">
        <v>10</v>
      </c>
      <c r="H27" s="8" t="s">
        <v>18</v>
      </c>
      <c r="I27" s="8" t="s">
        <v>13</v>
      </c>
    </row>
    <row r="28" spans="3:10" x14ac:dyDescent="0.25">
      <c r="C28" s="9" t="s">
        <v>9</v>
      </c>
      <c r="D28" s="10"/>
      <c r="E28" s="8" t="s">
        <v>56</v>
      </c>
      <c r="F28" s="8"/>
      <c r="G28" s="8"/>
      <c r="H28" s="8"/>
      <c r="I28" s="8"/>
    </row>
    <row r="29" spans="3:10" x14ac:dyDescent="0.25">
      <c r="C29" s="9" t="s">
        <v>11</v>
      </c>
      <c r="D29" s="8" t="s">
        <v>61</v>
      </c>
      <c r="E29" s="10"/>
      <c r="F29" s="8" t="s">
        <v>130</v>
      </c>
      <c r="G29" s="8">
        <v>45667</v>
      </c>
      <c r="H29" s="8">
        <v>45674</v>
      </c>
      <c r="I29" s="8">
        <v>45688</v>
      </c>
    </row>
    <row r="30" spans="3:10" x14ac:dyDescent="0.25">
      <c r="C30" s="9" t="s">
        <v>12</v>
      </c>
      <c r="D30" s="8"/>
      <c r="E30" s="8" t="s">
        <v>143</v>
      </c>
      <c r="F30" s="10"/>
      <c r="G30" s="8"/>
      <c r="H30" s="8"/>
      <c r="I30" s="8">
        <v>45667</v>
      </c>
    </row>
    <row r="31" spans="3:10" x14ac:dyDescent="0.25">
      <c r="C31" s="9" t="s">
        <v>10</v>
      </c>
      <c r="D31" s="8" t="s">
        <v>55</v>
      </c>
      <c r="E31" s="8" t="s">
        <v>55</v>
      </c>
      <c r="F31" s="8"/>
      <c r="G31" s="10"/>
      <c r="H31" s="8"/>
      <c r="I31" s="8" t="s">
        <v>55</v>
      </c>
    </row>
    <row r="32" spans="3:10" x14ac:dyDescent="0.25">
      <c r="C32" s="9" t="s">
        <v>18</v>
      </c>
      <c r="D32" s="8"/>
      <c r="E32" s="8"/>
      <c r="F32" s="8">
        <v>45662</v>
      </c>
      <c r="G32" s="8" t="s">
        <v>66</v>
      </c>
      <c r="H32" s="10"/>
      <c r="I32" s="8" t="s">
        <v>143</v>
      </c>
    </row>
    <row r="33" spans="3:9" x14ac:dyDescent="0.25">
      <c r="C33" s="9" t="s">
        <v>13</v>
      </c>
      <c r="D33" s="8" t="s">
        <v>61</v>
      </c>
      <c r="E33" s="8" t="s">
        <v>55</v>
      </c>
      <c r="F33" s="8"/>
      <c r="G33" s="8">
        <v>45679</v>
      </c>
      <c r="H33" s="8"/>
      <c r="I33" s="10"/>
    </row>
    <row r="34" spans="3:9" x14ac:dyDescent="0.25">
      <c r="C34" s="38"/>
      <c r="D34" s="39"/>
      <c r="E34" s="39"/>
      <c r="F34" s="39"/>
      <c r="G34" s="39"/>
      <c r="H34" s="39"/>
      <c r="I34" s="40"/>
    </row>
    <row r="35" spans="3:9" x14ac:dyDescent="0.25">
      <c r="C35" s="38"/>
      <c r="D35" s="39"/>
      <c r="E35" s="39"/>
      <c r="F35" s="39"/>
      <c r="G35" s="39"/>
      <c r="H35" s="39"/>
      <c r="I35" s="40"/>
    </row>
    <row r="37" spans="3:9" ht="15.75" x14ac:dyDescent="0.25">
      <c r="C37" s="34" t="s">
        <v>125</v>
      </c>
      <c r="D37" s="35"/>
      <c r="E37" s="35"/>
      <c r="F37" s="36"/>
    </row>
    <row r="38" spans="3:9" ht="15.75" x14ac:dyDescent="0.25">
      <c r="C38" s="24" t="s">
        <v>1</v>
      </c>
      <c r="D38" s="24" t="s">
        <v>0</v>
      </c>
      <c r="E38" s="32" t="s">
        <v>73</v>
      </c>
      <c r="F38" s="33"/>
    </row>
    <row r="39" spans="3:9" x14ac:dyDescent="0.25">
      <c r="C39" s="25">
        <v>45660</v>
      </c>
      <c r="D39" s="18" t="s">
        <v>127</v>
      </c>
      <c r="E39" s="22" t="s">
        <v>84</v>
      </c>
      <c r="F39" s="20"/>
    </row>
    <row r="40" spans="3:9" x14ac:dyDescent="0.25">
      <c r="C40" s="25">
        <v>45662</v>
      </c>
      <c r="D40" s="18" t="s">
        <v>24</v>
      </c>
      <c r="E40" s="22" t="s">
        <v>85</v>
      </c>
      <c r="F40" s="20"/>
    </row>
    <row r="41" spans="3:9" x14ac:dyDescent="0.25">
      <c r="C41" s="25">
        <v>45666</v>
      </c>
      <c r="D41" s="18" t="s">
        <v>127</v>
      </c>
      <c r="E41" s="22" t="s">
        <v>86</v>
      </c>
      <c r="F41" s="20"/>
    </row>
    <row r="42" spans="3:9" x14ac:dyDescent="0.25">
      <c r="C42" s="25">
        <v>45667</v>
      </c>
      <c r="D42" s="18" t="s">
        <v>24</v>
      </c>
      <c r="E42" s="22" t="s">
        <v>87</v>
      </c>
      <c r="F42" s="20"/>
    </row>
    <row r="43" spans="3:9" x14ac:dyDescent="0.25">
      <c r="C43" s="25">
        <v>45667</v>
      </c>
      <c r="D43" s="18" t="s">
        <v>128</v>
      </c>
      <c r="E43" s="22" t="s">
        <v>113</v>
      </c>
      <c r="F43" s="20"/>
    </row>
    <row r="44" spans="3:9" x14ac:dyDescent="0.25">
      <c r="C44" s="25">
        <v>45670</v>
      </c>
      <c r="D44" s="18" t="s">
        <v>129</v>
      </c>
      <c r="E44" s="22" t="s">
        <v>116</v>
      </c>
      <c r="F44" s="20"/>
    </row>
    <row r="45" spans="3:9" x14ac:dyDescent="0.25">
      <c r="C45" s="25">
        <v>45673</v>
      </c>
      <c r="D45" s="18" t="s">
        <v>127</v>
      </c>
      <c r="E45" s="22" t="s">
        <v>117</v>
      </c>
      <c r="F45" s="20"/>
    </row>
    <row r="46" spans="3:9" x14ac:dyDescent="0.25">
      <c r="C46" s="25">
        <v>45674</v>
      </c>
      <c r="D46" s="18" t="s">
        <v>128</v>
      </c>
      <c r="E46" s="22" t="s">
        <v>88</v>
      </c>
      <c r="F46" s="20"/>
    </row>
    <row r="47" spans="3:9" x14ac:dyDescent="0.25">
      <c r="C47" s="25">
        <v>45674</v>
      </c>
      <c r="D47" s="18" t="s">
        <v>129</v>
      </c>
      <c r="E47" s="22" t="s">
        <v>89</v>
      </c>
      <c r="F47" s="20"/>
    </row>
    <row r="48" spans="3:9" x14ac:dyDescent="0.25">
      <c r="C48" s="25">
        <v>45676</v>
      </c>
      <c r="D48" s="18" t="s">
        <v>127</v>
      </c>
      <c r="E48" s="22" t="s">
        <v>85</v>
      </c>
      <c r="F48" s="20"/>
    </row>
    <row r="49" spans="3:6" x14ac:dyDescent="0.25">
      <c r="C49" s="25">
        <v>45677</v>
      </c>
      <c r="D49" s="18" t="s">
        <v>129</v>
      </c>
      <c r="E49" s="22" t="s">
        <v>112</v>
      </c>
      <c r="F49" s="20"/>
    </row>
    <row r="50" spans="3:6" x14ac:dyDescent="0.25">
      <c r="C50" s="25">
        <v>45679</v>
      </c>
      <c r="D50" s="18" t="s">
        <v>128</v>
      </c>
      <c r="E50" s="22" t="s">
        <v>118</v>
      </c>
      <c r="F50" s="20"/>
    </row>
    <row r="51" spans="3:6" x14ac:dyDescent="0.25">
      <c r="C51" s="25">
        <v>45681</v>
      </c>
      <c r="D51" s="18" t="s">
        <v>127</v>
      </c>
      <c r="E51" s="22" t="s">
        <v>90</v>
      </c>
      <c r="F51" s="20"/>
    </row>
    <row r="52" spans="3:6" x14ac:dyDescent="0.25">
      <c r="C52" s="25">
        <v>45684</v>
      </c>
      <c r="D52" s="18" t="s">
        <v>25</v>
      </c>
      <c r="E52" s="22" t="s">
        <v>91</v>
      </c>
      <c r="F52" s="20"/>
    </row>
    <row r="53" spans="3:6" x14ac:dyDescent="0.25">
      <c r="C53" s="25">
        <v>45688</v>
      </c>
      <c r="D53" s="18" t="s">
        <v>128</v>
      </c>
      <c r="E53" s="22" t="s">
        <v>119</v>
      </c>
      <c r="F53" s="20"/>
    </row>
    <row r="54" spans="3:6" x14ac:dyDescent="0.25">
      <c r="C54" s="25">
        <v>45688</v>
      </c>
      <c r="D54" s="18" t="s">
        <v>127</v>
      </c>
      <c r="E54" s="22" t="s">
        <v>92</v>
      </c>
      <c r="F54" s="20"/>
    </row>
    <row r="55" spans="3:6" x14ac:dyDescent="0.25">
      <c r="C55" s="25">
        <v>45693</v>
      </c>
      <c r="D55" s="18" t="s">
        <v>127</v>
      </c>
      <c r="E55" s="22" t="s">
        <v>120</v>
      </c>
      <c r="F55" s="20"/>
    </row>
    <row r="56" spans="3:6" x14ac:dyDescent="0.25">
      <c r="C56" s="25">
        <v>45695</v>
      </c>
      <c r="D56" s="18" t="s">
        <v>25</v>
      </c>
      <c r="E56" s="22" t="s">
        <v>76</v>
      </c>
      <c r="F56" s="20"/>
    </row>
    <row r="57" spans="3:6" x14ac:dyDescent="0.25">
      <c r="C57" s="25">
        <v>45695</v>
      </c>
      <c r="D57" s="18" t="s">
        <v>22</v>
      </c>
      <c r="E57" s="22" t="s">
        <v>93</v>
      </c>
      <c r="F57" s="20"/>
    </row>
    <row r="58" spans="3:6" x14ac:dyDescent="0.25">
      <c r="C58" s="25">
        <v>45698</v>
      </c>
      <c r="D58" s="18" t="s">
        <v>129</v>
      </c>
      <c r="E58" s="22" t="s">
        <v>94</v>
      </c>
      <c r="F58" s="20"/>
    </row>
    <row r="59" spans="3:6" x14ac:dyDescent="0.25">
      <c r="C59" s="25">
        <v>45698</v>
      </c>
      <c r="D59" s="18" t="s">
        <v>23</v>
      </c>
      <c r="E59" s="22" t="s">
        <v>75</v>
      </c>
      <c r="F59" s="20"/>
    </row>
    <row r="60" spans="3:6" x14ac:dyDescent="0.25">
      <c r="C60" s="25">
        <v>45700</v>
      </c>
      <c r="D60" s="18" t="s">
        <v>127</v>
      </c>
      <c r="E60" s="22" t="s">
        <v>121</v>
      </c>
      <c r="F60" s="20"/>
    </row>
    <row r="61" spans="3:6" x14ac:dyDescent="0.25">
      <c r="C61" s="25">
        <v>45702</v>
      </c>
      <c r="D61" s="18" t="s">
        <v>24</v>
      </c>
      <c r="E61" s="22" t="s">
        <v>95</v>
      </c>
      <c r="F61" s="20"/>
    </row>
    <row r="62" spans="3:6" x14ac:dyDescent="0.25">
      <c r="C62" s="25">
        <v>45707</v>
      </c>
      <c r="D62" s="18" t="s">
        <v>128</v>
      </c>
      <c r="E62" s="22" t="s">
        <v>120</v>
      </c>
      <c r="F62" s="20"/>
    </row>
    <row r="63" spans="3:6" x14ac:dyDescent="0.25">
      <c r="C63" s="25">
        <v>45708</v>
      </c>
      <c r="D63" s="18" t="s">
        <v>22</v>
      </c>
      <c r="E63" s="22" t="s">
        <v>96</v>
      </c>
      <c r="F63" s="20"/>
    </row>
    <row r="64" spans="3:6" x14ac:dyDescent="0.25">
      <c r="C64" s="25">
        <v>45708</v>
      </c>
      <c r="D64" s="18" t="s">
        <v>22</v>
      </c>
      <c r="E64" s="22" t="s">
        <v>97</v>
      </c>
      <c r="F64" s="20"/>
    </row>
    <row r="65" spans="3:7" x14ac:dyDescent="0.25">
      <c r="C65" s="25">
        <v>45712</v>
      </c>
      <c r="D65" s="18" t="s">
        <v>23</v>
      </c>
      <c r="E65" s="22" t="s">
        <v>115</v>
      </c>
      <c r="F65" s="20"/>
    </row>
    <row r="66" spans="3:7" x14ac:dyDescent="0.25">
      <c r="C66" s="25">
        <v>45715</v>
      </c>
      <c r="D66" s="18" t="s">
        <v>128</v>
      </c>
      <c r="E66" s="22" t="s">
        <v>96</v>
      </c>
      <c r="F66" s="20"/>
    </row>
    <row r="67" spans="3:7" x14ac:dyDescent="0.25">
      <c r="C67" s="25">
        <v>45716</v>
      </c>
      <c r="D67" s="18" t="s">
        <v>129</v>
      </c>
      <c r="E67" s="22" t="s">
        <v>122</v>
      </c>
      <c r="F67" s="20"/>
    </row>
    <row r="68" spans="3:7" x14ac:dyDescent="0.25">
      <c r="C68" s="25">
        <v>45718</v>
      </c>
      <c r="D68" s="18" t="s">
        <v>127</v>
      </c>
      <c r="E68" s="22" t="s">
        <v>98</v>
      </c>
      <c r="F68" s="20"/>
    </row>
    <row r="69" spans="3:7" x14ac:dyDescent="0.25">
      <c r="C69" s="25">
        <v>45722</v>
      </c>
      <c r="D69" s="18" t="s">
        <v>127</v>
      </c>
      <c r="E69" s="22" t="s">
        <v>99</v>
      </c>
      <c r="F69" s="20"/>
    </row>
    <row r="70" spans="3:7" x14ac:dyDescent="0.25">
      <c r="C70" s="25">
        <v>45722</v>
      </c>
      <c r="D70" s="18" t="s">
        <v>22</v>
      </c>
      <c r="E70" s="22" t="s">
        <v>74</v>
      </c>
      <c r="F70" s="20"/>
      <c r="G70" s="27" t="s">
        <v>161</v>
      </c>
    </row>
    <row r="71" spans="3:7" x14ac:dyDescent="0.25">
      <c r="C71" s="25">
        <v>45723</v>
      </c>
      <c r="D71" s="18" t="s">
        <v>24</v>
      </c>
      <c r="E71" s="22" t="s">
        <v>81</v>
      </c>
      <c r="F71" s="20"/>
    </row>
    <row r="72" spans="3:7" x14ac:dyDescent="0.25">
      <c r="C72" s="25">
        <v>45723</v>
      </c>
      <c r="D72" s="18" t="s">
        <v>25</v>
      </c>
      <c r="E72" s="22" t="s">
        <v>113</v>
      </c>
      <c r="F72" s="20"/>
      <c r="G72" s="27" t="s">
        <v>160</v>
      </c>
    </row>
    <row r="73" spans="3:7" x14ac:dyDescent="0.25">
      <c r="C73" s="25">
        <v>45726</v>
      </c>
      <c r="D73" s="18" t="s">
        <v>127</v>
      </c>
      <c r="E73" s="22" t="s">
        <v>100</v>
      </c>
      <c r="F73" s="20"/>
    </row>
    <row r="74" spans="3:7" x14ac:dyDescent="0.25">
      <c r="C74" s="25">
        <v>45728</v>
      </c>
      <c r="D74" s="18" t="s">
        <v>128</v>
      </c>
      <c r="E74" s="22" t="s">
        <v>114</v>
      </c>
      <c r="F74" s="20"/>
    </row>
    <row r="75" spans="3:7" x14ac:dyDescent="0.25">
      <c r="C75" s="25">
        <v>45730</v>
      </c>
      <c r="D75" s="18" t="s">
        <v>128</v>
      </c>
      <c r="E75" s="22" t="s">
        <v>77</v>
      </c>
      <c r="F75" s="20"/>
    </row>
    <row r="76" spans="3:7" x14ac:dyDescent="0.25">
      <c r="C76" s="25">
        <v>45730</v>
      </c>
      <c r="D76" s="18" t="s">
        <v>22</v>
      </c>
      <c r="E76" s="22" t="s">
        <v>101</v>
      </c>
      <c r="F76" s="20"/>
    </row>
    <row r="77" spans="3:7" x14ac:dyDescent="0.25">
      <c r="C77" s="25">
        <v>45732</v>
      </c>
      <c r="D77" s="18" t="s">
        <v>128</v>
      </c>
      <c r="E77" s="22" t="s">
        <v>102</v>
      </c>
      <c r="F77" s="20"/>
    </row>
    <row r="78" spans="3:7" x14ac:dyDescent="0.25">
      <c r="C78" s="25" t="s">
        <v>149</v>
      </c>
      <c r="D78" s="18" t="s">
        <v>150</v>
      </c>
      <c r="E78" s="22" t="s">
        <v>151</v>
      </c>
      <c r="F78" s="20"/>
      <c r="G78" s="27" t="s">
        <v>159</v>
      </c>
    </row>
    <row r="79" spans="3:7" x14ac:dyDescent="0.25">
      <c r="C79" s="25">
        <v>45737</v>
      </c>
      <c r="D79" s="18" t="s">
        <v>127</v>
      </c>
      <c r="E79" s="22" t="s">
        <v>103</v>
      </c>
      <c r="F79" s="20"/>
    </row>
    <row r="80" spans="3:7" x14ac:dyDescent="0.25">
      <c r="C80" s="25">
        <v>45740</v>
      </c>
      <c r="D80" s="18" t="s">
        <v>127</v>
      </c>
      <c r="E80" s="22" t="s">
        <v>111</v>
      </c>
      <c r="F80" s="20"/>
    </row>
    <row r="81" spans="3:6" x14ac:dyDescent="0.25">
      <c r="C81" s="25">
        <v>45743</v>
      </c>
      <c r="D81" s="18" t="s">
        <v>128</v>
      </c>
      <c r="E81" s="22" t="s">
        <v>78</v>
      </c>
      <c r="F81" s="20"/>
    </row>
    <row r="82" spans="3:6" x14ac:dyDescent="0.25">
      <c r="C82" s="25">
        <v>45744</v>
      </c>
      <c r="D82" s="18" t="s">
        <v>129</v>
      </c>
      <c r="E82" s="22" t="s">
        <v>82</v>
      </c>
      <c r="F82" s="20"/>
    </row>
    <row r="83" spans="3:6" x14ac:dyDescent="0.25">
      <c r="C83" s="25">
        <v>45747</v>
      </c>
      <c r="D83" s="18" t="s">
        <v>23</v>
      </c>
      <c r="E83" s="22" t="s">
        <v>120</v>
      </c>
      <c r="F83" s="20"/>
    </row>
    <row r="84" spans="3:6" x14ac:dyDescent="0.25">
      <c r="C84" s="25">
        <v>45750</v>
      </c>
      <c r="D84" s="18" t="s">
        <v>22</v>
      </c>
      <c r="E84" s="22" t="s">
        <v>110</v>
      </c>
      <c r="F84" s="20"/>
    </row>
    <row r="85" spans="3:6" x14ac:dyDescent="0.25">
      <c r="C85" s="25">
        <v>45751</v>
      </c>
      <c r="D85" s="18" t="s">
        <v>24</v>
      </c>
      <c r="E85" s="22" t="s">
        <v>80</v>
      </c>
      <c r="F85" s="20"/>
    </row>
    <row r="86" spans="3:6" x14ac:dyDescent="0.25">
      <c r="C86" s="25">
        <v>45753</v>
      </c>
      <c r="D86" s="18" t="s">
        <v>127</v>
      </c>
      <c r="E86" s="22" t="s">
        <v>104</v>
      </c>
      <c r="F86" s="20"/>
    </row>
    <row r="87" spans="3:6" x14ac:dyDescent="0.25">
      <c r="C87" s="25">
        <v>45756</v>
      </c>
      <c r="D87" s="18" t="s">
        <v>22</v>
      </c>
      <c r="E87" s="22" t="s">
        <v>123</v>
      </c>
      <c r="F87" s="20"/>
    </row>
    <row r="88" spans="3:6" x14ac:dyDescent="0.25">
      <c r="C88" s="25">
        <v>45758</v>
      </c>
      <c r="D88" s="18" t="s">
        <v>24</v>
      </c>
      <c r="E88" s="22" t="s">
        <v>105</v>
      </c>
      <c r="F88" s="20"/>
    </row>
    <row r="89" spans="3:6" x14ac:dyDescent="0.25">
      <c r="C89" s="25">
        <v>45763</v>
      </c>
      <c r="D89" s="18" t="s">
        <v>127</v>
      </c>
      <c r="E89" s="22" t="s">
        <v>118</v>
      </c>
      <c r="F89" s="20"/>
    </row>
    <row r="90" spans="3:6" x14ac:dyDescent="0.25">
      <c r="C90" s="25">
        <v>45764</v>
      </c>
      <c r="D90" s="18" t="s">
        <v>126</v>
      </c>
      <c r="E90" s="22" t="s">
        <v>79</v>
      </c>
      <c r="F90" s="20"/>
    </row>
    <row r="91" spans="3:6" x14ac:dyDescent="0.25">
      <c r="C91" s="25">
        <v>45764</v>
      </c>
      <c r="D91" s="18" t="s">
        <v>127</v>
      </c>
      <c r="E91" s="22" t="s">
        <v>106</v>
      </c>
      <c r="F91" s="20"/>
    </row>
    <row r="92" spans="3:6" x14ac:dyDescent="0.25">
      <c r="C92" s="25">
        <v>45771</v>
      </c>
      <c r="D92" s="18" t="s">
        <v>127</v>
      </c>
      <c r="E92" s="22" t="s">
        <v>107</v>
      </c>
      <c r="F92" s="20"/>
    </row>
    <row r="93" spans="3:6" x14ac:dyDescent="0.25">
      <c r="C93" s="25">
        <v>45772</v>
      </c>
      <c r="D93" s="18" t="s">
        <v>128</v>
      </c>
      <c r="E93" s="22" t="s">
        <v>108</v>
      </c>
      <c r="F93" s="20"/>
    </row>
    <row r="94" spans="3:6" x14ac:dyDescent="0.25">
      <c r="C94" s="25">
        <v>45772</v>
      </c>
      <c r="D94" s="18" t="s">
        <v>127</v>
      </c>
      <c r="E94" s="22" t="s">
        <v>122</v>
      </c>
      <c r="F94" s="20"/>
    </row>
    <row r="95" spans="3:6" x14ac:dyDescent="0.25">
      <c r="C95" s="25">
        <v>45775</v>
      </c>
      <c r="D95" s="18" t="s">
        <v>128</v>
      </c>
      <c r="E95" s="22" t="s">
        <v>83</v>
      </c>
      <c r="F95" s="20"/>
    </row>
    <row r="96" spans="3:6" x14ac:dyDescent="0.25">
      <c r="C96" s="25">
        <v>45777</v>
      </c>
      <c r="D96" s="18" t="s">
        <v>126</v>
      </c>
      <c r="E96" s="22" t="s">
        <v>124</v>
      </c>
      <c r="F96" s="20"/>
    </row>
    <row r="97" spans="3:7" x14ac:dyDescent="0.25">
      <c r="C97" s="25">
        <v>45779</v>
      </c>
      <c r="D97" s="18" t="s">
        <v>127</v>
      </c>
      <c r="E97" s="22" t="s">
        <v>108</v>
      </c>
      <c r="F97" s="20"/>
    </row>
    <row r="98" spans="3:7" x14ac:dyDescent="0.25">
      <c r="C98" s="25">
        <v>45781</v>
      </c>
      <c r="D98" s="18" t="s">
        <v>23</v>
      </c>
      <c r="E98" s="22" t="s">
        <v>111</v>
      </c>
      <c r="F98" s="20"/>
    </row>
    <row r="99" spans="3:7" x14ac:dyDescent="0.25">
      <c r="C99" s="25">
        <v>45786</v>
      </c>
      <c r="D99" s="18" t="s">
        <v>128</v>
      </c>
      <c r="E99" s="22" t="s">
        <v>124</v>
      </c>
      <c r="F99" s="20"/>
    </row>
    <row r="100" spans="3:7" x14ac:dyDescent="0.25">
      <c r="C100" s="25">
        <v>45786</v>
      </c>
      <c r="D100" s="18" t="s">
        <v>22</v>
      </c>
      <c r="E100" s="22" t="s">
        <v>109</v>
      </c>
      <c r="F100" s="20"/>
    </row>
    <row r="101" spans="3:7" x14ac:dyDescent="0.25">
      <c r="C101" s="25">
        <v>45786</v>
      </c>
      <c r="D101" s="18" t="s">
        <v>150</v>
      </c>
      <c r="E101" s="22" t="s">
        <v>164</v>
      </c>
      <c r="F101" s="20"/>
      <c r="G101" s="27" t="s">
        <v>165</v>
      </c>
    </row>
    <row r="102" spans="3:7" x14ac:dyDescent="0.25">
      <c r="C102" s="25">
        <v>45789</v>
      </c>
      <c r="D102" s="18" t="s">
        <v>126</v>
      </c>
      <c r="E102" s="22" t="s">
        <v>118</v>
      </c>
      <c r="F102" s="20"/>
    </row>
    <row r="103" spans="3:7" x14ac:dyDescent="0.25">
      <c r="C103" s="26">
        <v>45789</v>
      </c>
      <c r="D103" s="19" t="s">
        <v>22</v>
      </c>
      <c r="E103" s="23" t="s">
        <v>75</v>
      </c>
      <c r="F103" s="21"/>
    </row>
  </sheetData>
  <mergeCells count="3">
    <mergeCell ref="E38:F38"/>
    <mergeCell ref="C37:F37"/>
    <mergeCell ref="C1:G1"/>
  </mergeCells>
  <printOptions horizontalCentered="1"/>
  <pageMargins left="0.25" right="0.25" top="0.25" bottom="0.25" header="0.3" footer="0.3"/>
  <pageSetup paperSize="9" scale="91" fitToHeight="0" orientation="landscape" cellComments="atEnd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30"/>
  <sheetViews>
    <sheetView showGridLines="0" showRowColHeaders="0" tabSelected="1" topLeftCell="B1" workbookViewId="0">
      <selection activeCell="AP263" sqref="AP263"/>
    </sheetView>
  </sheetViews>
  <sheetFormatPr defaultColWidth="9.140625" defaultRowHeight="15" x14ac:dyDescent="0.25"/>
  <cols>
    <col min="1" max="1" width="2" hidden="1" customWidth="1"/>
    <col min="2" max="2" width="7.42578125" customWidth="1"/>
    <col min="3" max="3" width="20.42578125" bestFit="1" customWidth="1"/>
    <col min="4" max="11" width="7.42578125" customWidth="1"/>
    <col min="12" max="12" width="20.42578125" bestFit="1" customWidth="1"/>
    <col min="13" max="23" width="7.42578125" customWidth="1"/>
  </cols>
  <sheetData>
    <row r="1" spans="2:20" ht="15.75" x14ac:dyDescent="0.25">
      <c r="C1" s="41" t="s">
        <v>148</v>
      </c>
      <c r="D1" s="41"/>
      <c r="E1" s="41"/>
      <c r="F1" s="41"/>
      <c r="G1" s="41"/>
      <c r="H1" s="41"/>
      <c r="I1" s="41"/>
      <c r="J1" s="41"/>
      <c r="K1" s="41"/>
      <c r="L1" s="41"/>
    </row>
    <row r="2" spans="2:20" x14ac:dyDescent="0.25">
      <c r="C2" s="1"/>
    </row>
    <row r="3" spans="2:20" x14ac:dyDescent="0.25">
      <c r="C3" s="37" t="s">
        <v>206</v>
      </c>
      <c r="D3" s="37"/>
      <c r="E3" s="37"/>
    </row>
    <row r="5" spans="2:20" x14ac:dyDescent="0.25">
      <c r="C5" s="16" t="s">
        <v>25</v>
      </c>
      <c r="D5" s="7" t="s">
        <v>2</v>
      </c>
      <c r="E5" s="7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L5" s="16" t="s">
        <v>26</v>
      </c>
      <c r="M5" s="7" t="s">
        <v>2</v>
      </c>
      <c r="N5" s="7" t="s">
        <v>3</v>
      </c>
      <c r="O5" s="7" t="s">
        <v>4</v>
      </c>
      <c r="P5" s="7" t="s">
        <v>5</v>
      </c>
      <c r="Q5" s="7" t="s">
        <v>6</v>
      </c>
      <c r="R5" s="7" t="s">
        <v>7</v>
      </c>
      <c r="S5" s="7" t="s">
        <v>8</v>
      </c>
    </row>
    <row r="6" spans="2:20" x14ac:dyDescent="0.25">
      <c r="B6" t="s">
        <v>20</v>
      </c>
      <c r="C6" s="7" t="s">
        <v>13</v>
      </c>
      <c r="D6" s="7">
        <v>2</v>
      </c>
      <c r="E6" s="7">
        <v>2</v>
      </c>
      <c r="F6" s="7">
        <v>0</v>
      </c>
      <c r="G6" s="7">
        <v>0</v>
      </c>
      <c r="H6" s="7">
        <v>10</v>
      </c>
      <c r="I6" s="7">
        <v>2</v>
      </c>
      <c r="J6" s="7">
        <v>4</v>
      </c>
      <c r="K6" t="s">
        <v>20</v>
      </c>
      <c r="L6" s="7" t="s">
        <v>18</v>
      </c>
      <c r="M6" s="7">
        <v>3</v>
      </c>
      <c r="N6" s="7">
        <v>2</v>
      </c>
      <c r="O6" s="7">
        <v>1</v>
      </c>
      <c r="P6" s="7">
        <v>0</v>
      </c>
      <c r="Q6" s="7">
        <v>11</v>
      </c>
      <c r="R6" s="7">
        <v>7</v>
      </c>
      <c r="S6" s="7">
        <v>5</v>
      </c>
      <c r="T6" t="s">
        <v>20</v>
      </c>
    </row>
    <row r="7" spans="2:20" x14ac:dyDescent="0.25">
      <c r="C7" s="12" t="s">
        <v>14</v>
      </c>
      <c r="D7" s="12">
        <v>1</v>
      </c>
      <c r="E7" s="12">
        <v>1</v>
      </c>
      <c r="F7" s="12">
        <v>0</v>
      </c>
      <c r="G7" s="12">
        <v>0</v>
      </c>
      <c r="H7" s="12">
        <v>5</v>
      </c>
      <c r="I7" s="12">
        <v>1</v>
      </c>
      <c r="J7" s="12">
        <v>2</v>
      </c>
      <c r="L7" s="12" t="s">
        <v>10</v>
      </c>
      <c r="M7" s="12">
        <v>1</v>
      </c>
      <c r="N7" s="12">
        <v>0</v>
      </c>
      <c r="O7" s="12">
        <v>1</v>
      </c>
      <c r="P7" s="12">
        <v>0</v>
      </c>
      <c r="Q7" s="12">
        <v>3</v>
      </c>
      <c r="R7" s="12">
        <v>3</v>
      </c>
      <c r="S7" s="12">
        <v>1</v>
      </c>
    </row>
    <row r="8" spans="2:20" x14ac:dyDescent="0.25">
      <c r="C8" s="7" t="s">
        <v>21</v>
      </c>
      <c r="D8" s="7">
        <v>2</v>
      </c>
      <c r="E8" s="7">
        <v>0</v>
      </c>
      <c r="F8" s="7">
        <v>0</v>
      </c>
      <c r="G8" s="7">
        <v>2</v>
      </c>
      <c r="H8" s="7">
        <v>3</v>
      </c>
      <c r="I8" s="7">
        <v>9</v>
      </c>
      <c r="J8" s="7">
        <v>0</v>
      </c>
      <c r="L8" s="7" t="s">
        <v>14</v>
      </c>
      <c r="M8" s="7">
        <v>2</v>
      </c>
      <c r="N8" s="7">
        <v>0</v>
      </c>
      <c r="O8" s="7">
        <v>0</v>
      </c>
      <c r="P8" s="7">
        <v>2</v>
      </c>
      <c r="Q8" s="7">
        <v>4</v>
      </c>
      <c r="R8" s="7">
        <v>8</v>
      </c>
      <c r="S8" s="7">
        <v>0</v>
      </c>
    </row>
    <row r="9" spans="2:20" x14ac:dyDescent="0.25">
      <c r="C9" s="7" t="s">
        <v>12</v>
      </c>
      <c r="D9" s="7">
        <v>1</v>
      </c>
      <c r="E9" s="7">
        <v>0</v>
      </c>
      <c r="F9" s="7">
        <v>0</v>
      </c>
      <c r="G9" s="7">
        <v>1</v>
      </c>
      <c r="H9" s="7">
        <v>0</v>
      </c>
      <c r="I9" s="7">
        <v>6</v>
      </c>
      <c r="J9" s="7">
        <v>0</v>
      </c>
      <c r="L9" s="7" t="s">
        <v>13</v>
      </c>
      <c r="M9" s="7"/>
      <c r="N9" s="7"/>
      <c r="O9" s="7"/>
      <c r="P9" s="7"/>
      <c r="Q9" s="7"/>
      <c r="R9" s="7"/>
      <c r="S9" s="7"/>
    </row>
    <row r="11" spans="2:20" x14ac:dyDescent="0.25">
      <c r="L11" s="3"/>
      <c r="M11" s="3"/>
      <c r="N11" s="3"/>
      <c r="O11" s="3"/>
      <c r="P11" s="3"/>
      <c r="Q11" s="3"/>
      <c r="R11" s="3"/>
      <c r="S11" s="3"/>
    </row>
    <row r="12" spans="2:20" x14ac:dyDescent="0.25">
      <c r="C12" s="16" t="s">
        <v>22</v>
      </c>
      <c r="D12" s="7" t="s">
        <v>2</v>
      </c>
      <c r="E12" s="7" t="s">
        <v>3</v>
      </c>
      <c r="F12" s="7" t="s">
        <v>4</v>
      </c>
      <c r="G12" s="7" t="s">
        <v>5</v>
      </c>
      <c r="H12" s="7" t="s">
        <v>6</v>
      </c>
      <c r="I12" s="7" t="s">
        <v>7</v>
      </c>
      <c r="J12" s="7" t="s">
        <v>8</v>
      </c>
      <c r="L12" s="16" t="s">
        <v>24</v>
      </c>
      <c r="M12" s="7" t="s">
        <v>2</v>
      </c>
      <c r="N12" s="7" t="s">
        <v>3</v>
      </c>
      <c r="O12" s="7" t="s">
        <v>4</v>
      </c>
      <c r="P12" s="7" t="s">
        <v>5</v>
      </c>
      <c r="Q12" s="7" t="s">
        <v>6</v>
      </c>
      <c r="R12" s="7" t="s">
        <v>7</v>
      </c>
      <c r="S12" s="7" t="s">
        <v>8</v>
      </c>
    </row>
    <row r="13" spans="2:20" x14ac:dyDescent="0.25">
      <c r="C13" s="12" t="s">
        <v>14</v>
      </c>
      <c r="D13" s="12">
        <v>6</v>
      </c>
      <c r="E13" s="12">
        <v>4</v>
      </c>
      <c r="F13" s="12">
        <v>1</v>
      </c>
      <c r="G13" s="12">
        <v>1</v>
      </c>
      <c r="H13" s="12">
        <v>22</v>
      </c>
      <c r="I13" s="12">
        <v>12</v>
      </c>
      <c r="J13" s="12">
        <v>9</v>
      </c>
      <c r="L13" s="12" t="s">
        <v>9</v>
      </c>
      <c r="M13" s="12">
        <v>4</v>
      </c>
      <c r="N13" s="12">
        <v>3</v>
      </c>
      <c r="O13" s="12">
        <v>1</v>
      </c>
      <c r="P13" s="12">
        <v>0</v>
      </c>
      <c r="Q13" s="12">
        <v>21</v>
      </c>
      <c r="R13" s="12">
        <v>3</v>
      </c>
      <c r="S13" s="12">
        <v>7</v>
      </c>
    </row>
    <row r="14" spans="2:20" x14ac:dyDescent="0.25">
      <c r="C14" s="8" t="s">
        <v>13</v>
      </c>
      <c r="D14" s="7">
        <v>4</v>
      </c>
      <c r="E14" s="7">
        <v>2</v>
      </c>
      <c r="F14" s="7">
        <v>1</v>
      </c>
      <c r="G14" s="7">
        <v>1</v>
      </c>
      <c r="H14" s="7">
        <v>13</v>
      </c>
      <c r="I14" s="7">
        <v>11</v>
      </c>
      <c r="J14" s="7">
        <v>5</v>
      </c>
      <c r="L14" s="7" t="s">
        <v>18</v>
      </c>
      <c r="M14" s="7">
        <v>2</v>
      </c>
      <c r="N14" s="7">
        <v>2</v>
      </c>
      <c r="O14" s="7">
        <v>0</v>
      </c>
      <c r="P14" s="7">
        <v>0</v>
      </c>
      <c r="Q14" s="7">
        <v>9</v>
      </c>
      <c r="R14" s="7">
        <v>3</v>
      </c>
      <c r="S14" s="7">
        <v>4</v>
      </c>
    </row>
    <row r="15" spans="2:20" x14ac:dyDescent="0.25">
      <c r="C15" s="7" t="s">
        <v>15</v>
      </c>
      <c r="D15" s="7">
        <v>4</v>
      </c>
      <c r="E15" s="7">
        <v>2</v>
      </c>
      <c r="F15" s="7">
        <v>0</v>
      </c>
      <c r="G15" s="7">
        <v>2</v>
      </c>
      <c r="H15" s="7">
        <v>14</v>
      </c>
      <c r="I15" s="7">
        <v>10</v>
      </c>
      <c r="J15" s="7">
        <v>4</v>
      </c>
      <c r="L15" s="7" t="s">
        <v>12</v>
      </c>
      <c r="M15" s="7">
        <v>2</v>
      </c>
      <c r="N15" s="7">
        <v>2</v>
      </c>
      <c r="O15" s="7">
        <v>0</v>
      </c>
      <c r="P15" s="7">
        <v>0</v>
      </c>
      <c r="Q15" s="7">
        <v>7</v>
      </c>
      <c r="R15" s="7">
        <v>3</v>
      </c>
      <c r="S15" s="7">
        <v>4</v>
      </c>
    </row>
    <row r="16" spans="2:20" x14ac:dyDescent="0.25">
      <c r="C16" s="7" t="s">
        <v>10</v>
      </c>
      <c r="D16" s="7">
        <v>3</v>
      </c>
      <c r="E16" s="7">
        <v>1</v>
      </c>
      <c r="F16" s="7">
        <v>2</v>
      </c>
      <c r="G16" s="7">
        <v>0</v>
      </c>
      <c r="H16" s="7">
        <v>11</v>
      </c>
      <c r="I16" s="7">
        <v>7</v>
      </c>
      <c r="J16" s="7">
        <v>4</v>
      </c>
      <c r="L16" s="7" t="s">
        <v>10</v>
      </c>
      <c r="M16" s="7">
        <v>4</v>
      </c>
      <c r="N16" s="7">
        <v>0</v>
      </c>
      <c r="O16" s="7">
        <v>3</v>
      </c>
      <c r="P16" s="7">
        <v>1</v>
      </c>
      <c r="Q16" s="7">
        <v>10</v>
      </c>
      <c r="R16" s="7">
        <v>14</v>
      </c>
      <c r="S16" s="7">
        <v>3</v>
      </c>
    </row>
    <row r="17" spans="3:19" x14ac:dyDescent="0.25">
      <c r="C17" s="7" t="s">
        <v>18</v>
      </c>
      <c r="D17" s="7">
        <v>3</v>
      </c>
      <c r="E17" s="7">
        <v>2</v>
      </c>
      <c r="F17" s="7">
        <v>0</v>
      </c>
      <c r="G17" s="7">
        <v>1</v>
      </c>
      <c r="H17" s="7">
        <v>9</v>
      </c>
      <c r="I17" s="7">
        <v>9</v>
      </c>
      <c r="J17" s="7">
        <v>4</v>
      </c>
      <c r="L17" s="7" t="s">
        <v>13</v>
      </c>
      <c r="M17" s="7">
        <v>4</v>
      </c>
      <c r="N17" s="7">
        <v>0</v>
      </c>
      <c r="O17" s="7">
        <v>2</v>
      </c>
      <c r="P17" s="7">
        <v>2</v>
      </c>
      <c r="Q17" s="7">
        <v>8</v>
      </c>
      <c r="R17" s="7">
        <v>16</v>
      </c>
      <c r="S17" s="7">
        <v>2</v>
      </c>
    </row>
    <row r="18" spans="3:19" x14ac:dyDescent="0.25">
      <c r="C18" s="7" t="s">
        <v>16</v>
      </c>
      <c r="D18" s="30">
        <v>2</v>
      </c>
      <c r="E18" s="30">
        <v>0</v>
      </c>
      <c r="F18" s="30">
        <v>1</v>
      </c>
      <c r="G18" s="30">
        <v>1</v>
      </c>
      <c r="H18" s="30">
        <v>3</v>
      </c>
      <c r="I18" s="30">
        <v>9</v>
      </c>
      <c r="J18" s="30">
        <v>1</v>
      </c>
      <c r="L18" s="7" t="s">
        <v>11</v>
      </c>
      <c r="M18" s="7">
        <v>6</v>
      </c>
      <c r="N18" s="7">
        <v>0</v>
      </c>
      <c r="O18" s="7">
        <v>2</v>
      </c>
      <c r="P18" s="7">
        <v>4</v>
      </c>
      <c r="Q18" s="7">
        <v>9</v>
      </c>
      <c r="R18" s="7">
        <v>27</v>
      </c>
      <c r="S18" s="7">
        <v>2</v>
      </c>
    </row>
    <row r="19" spans="3:19" x14ac:dyDescent="0.25">
      <c r="C19" s="7" t="s">
        <v>12</v>
      </c>
      <c r="D19" s="7">
        <v>6</v>
      </c>
      <c r="E19" s="7">
        <v>0</v>
      </c>
      <c r="F19" s="7">
        <v>1</v>
      </c>
      <c r="G19" s="7">
        <v>5</v>
      </c>
      <c r="H19" s="7">
        <v>10</v>
      </c>
      <c r="I19" s="7">
        <v>26</v>
      </c>
      <c r="J19" s="7">
        <v>1</v>
      </c>
    </row>
    <row r="23" spans="3:19" x14ac:dyDescent="0.25">
      <c r="C23" s="2"/>
      <c r="D23" s="3"/>
      <c r="E23" s="3"/>
      <c r="F23" s="3"/>
      <c r="G23" s="3"/>
      <c r="H23" s="3"/>
      <c r="I23" s="3"/>
      <c r="J23" s="3"/>
    </row>
    <row r="24" spans="3:19" x14ac:dyDescent="0.25">
      <c r="C24" s="11"/>
      <c r="D24" s="11"/>
      <c r="E24" s="11"/>
      <c r="F24" s="11"/>
      <c r="G24" s="11"/>
      <c r="H24" s="11"/>
      <c r="I24" s="11"/>
      <c r="J24" s="11"/>
    </row>
    <row r="25" spans="3:19" x14ac:dyDescent="0.25">
      <c r="C25" s="3"/>
      <c r="D25" s="3"/>
      <c r="E25" s="3"/>
      <c r="F25" s="3"/>
      <c r="G25" s="3"/>
      <c r="H25" s="3"/>
      <c r="I25" s="3"/>
      <c r="J25" s="3"/>
    </row>
    <row r="26" spans="3:19" x14ac:dyDescent="0.25">
      <c r="C26" s="3"/>
      <c r="D26" s="3"/>
      <c r="E26" s="3"/>
      <c r="F26" s="3"/>
      <c r="G26" s="3"/>
      <c r="H26" s="3"/>
      <c r="I26" s="3"/>
      <c r="J26" s="3"/>
    </row>
    <row r="27" spans="3:19" x14ac:dyDescent="0.25">
      <c r="C27" s="3"/>
      <c r="D27" s="3"/>
      <c r="E27" s="3"/>
      <c r="F27" s="3"/>
      <c r="G27" s="3"/>
      <c r="H27" s="3"/>
      <c r="I27" s="3"/>
      <c r="J27" s="3"/>
    </row>
    <row r="28" spans="3:19" x14ac:dyDescent="0.25">
      <c r="C28" s="3"/>
      <c r="D28" s="3"/>
      <c r="E28" s="3"/>
      <c r="F28" s="3"/>
      <c r="G28" s="3"/>
      <c r="H28" s="3"/>
      <c r="I28" s="3"/>
      <c r="J28" s="3"/>
    </row>
    <row r="29" spans="3:19" x14ac:dyDescent="0.25">
      <c r="C29" s="3"/>
      <c r="D29" s="3"/>
      <c r="E29" s="3"/>
      <c r="F29" s="3"/>
      <c r="G29" s="3"/>
      <c r="H29" s="3"/>
      <c r="I29" s="3"/>
      <c r="J29" s="3"/>
    </row>
    <row r="30" spans="3:19" x14ac:dyDescent="0.25">
      <c r="C30" s="3"/>
      <c r="D30" s="3"/>
      <c r="E30" s="3"/>
      <c r="F30" s="3"/>
      <c r="G30" s="3"/>
      <c r="H30" s="3"/>
      <c r="I30" s="3"/>
      <c r="J30" s="3"/>
    </row>
  </sheetData>
  <mergeCells count="2">
    <mergeCell ref="C3:E3"/>
    <mergeCell ref="C1:L1"/>
  </mergeCells>
  <printOptions horizontalCentered="1"/>
  <pageMargins left="0.23622047244094502" right="0.23622047244094502" top="0.74803149606299202" bottom="0.74803149606299202" header="0.31496062992126" footer="0.31496062992126"/>
  <pageSetup paperSize="9" scale="86" fitToHeight="0" orientation="landscape" cellComments="atEnd" r:id="rId1"/>
  <colBreaks count="1" manualBreakCount="1">
    <brk id="1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24EC2-9435-4B3F-BE99-AB1EAA7C6E39}">
  <dimension ref="A1:L93"/>
  <sheetViews>
    <sheetView zoomScale="85" zoomScaleNormal="85" workbookViewId="0">
      <pane ySplit="2" topLeftCell="A3" activePane="bottomLeft" state="frozen"/>
      <selection pane="bottomLeft"/>
    </sheetView>
  </sheetViews>
  <sheetFormatPr defaultRowHeight="15" x14ac:dyDescent="0.25"/>
  <cols>
    <col min="1" max="1" width="13.85546875" bestFit="1" customWidth="1"/>
    <col min="3" max="3" width="21.42578125" bestFit="1" customWidth="1"/>
    <col min="4" max="4" width="8.5703125" bestFit="1" customWidth="1"/>
    <col min="5" max="5" width="13.140625" bestFit="1" customWidth="1"/>
    <col min="12" max="12" width="13.140625" bestFit="1" customWidth="1"/>
  </cols>
  <sheetData>
    <row r="1" spans="1:12" x14ac:dyDescent="0.25">
      <c r="A1" s="17" t="s">
        <v>0</v>
      </c>
      <c r="B1" s="17" t="s">
        <v>1</v>
      </c>
      <c r="C1" s="17" t="s">
        <v>28</v>
      </c>
      <c r="D1" s="17" t="s">
        <v>35</v>
      </c>
      <c r="E1" s="17" t="s">
        <v>33</v>
      </c>
      <c r="F1" s="17" t="s">
        <v>27</v>
      </c>
      <c r="G1" s="17" t="s">
        <v>27</v>
      </c>
      <c r="H1" s="17" t="s">
        <v>30</v>
      </c>
      <c r="I1" s="17" t="s">
        <v>43</v>
      </c>
      <c r="J1" s="17" t="s">
        <v>8</v>
      </c>
      <c r="K1" s="17" t="s">
        <v>31</v>
      </c>
      <c r="L1" s="17" t="s">
        <v>32</v>
      </c>
    </row>
    <row r="2" spans="1:12" x14ac:dyDescent="0.25">
      <c r="A2" s="17"/>
      <c r="B2" s="17"/>
      <c r="C2" s="17"/>
      <c r="D2" s="17"/>
      <c r="E2" s="17"/>
      <c r="F2" s="17" t="s">
        <v>29</v>
      </c>
      <c r="G2" s="17" t="s">
        <v>3</v>
      </c>
      <c r="H2" s="17" t="s">
        <v>29</v>
      </c>
      <c r="I2" s="17" t="s">
        <v>3</v>
      </c>
      <c r="J2" s="17" t="s">
        <v>6</v>
      </c>
      <c r="K2" s="17" t="s">
        <v>7</v>
      </c>
      <c r="L2" s="17"/>
    </row>
    <row r="3" spans="1:12" x14ac:dyDescent="0.25">
      <c r="A3" t="s">
        <v>24</v>
      </c>
      <c r="B3" s="13">
        <v>45567</v>
      </c>
      <c r="C3" t="s">
        <v>45</v>
      </c>
      <c r="D3" s="15">
        <v>-6</v>
      </c>
      <c r="E3" t="s">
        <v>53</v>
      </c>
      <c r="F3">
        <v>3</v>
      </c>
      <c r="G3">
        <v>3</v>
      </c>
      <c r="H3">
        <v>6</v>
      </c>
      <c r="I3">
        <v>6</v>
      </c>
      <c r="J3">
        <f>21+21+0+21+21+0+21+21+0</f>
        <v>126</v>
      </c>
      <c r="K3">
        <f>11+19+0+15+18+0+13+12+0</f>
        <v>88</v>
      </c>
      <c r="L3" t="s">
        <v>54</v>
      </c>
    </row>
    <row r="4" spans="1:12" x14ac:dyDescent="0.25">
      <c r="A4" t="s">
        <v>24</v>
      </c>
      <c r="B4" s="13">
        <v>45567</v>
      </c>
      <c r="C4" t="s">
        <v>46</v>
      </c>
      <c r="D4" s="15">
        <v>-2</v>
      </c>
      <c r="E4" t="s">
        <v>53</v>
      </c>
      <c r="F4">
        <v>3</v>
      </c>
      <c r="G4">
        <v>3</v>
      </c>
      <c r="H4">
        <v>7</v>
      </c>
      <c r="I4">
        <v>6</v>
      </c>
      <c r="J4">
        <f>42+57+42</f>
        <v>141</v>
      </c>
      <c r="K4">
        <f>30+57+35</f>
        <v>122</v>
      </c>
      <c r="L4" t="s">
        <v>54</v>
      </c>
    </row>
    <row r="5" spans="1:12" x14ac:dyDescent="0.25">
      <c r="A5" t="s">
        <v>24</v>
      </c>
      <c r="B5" s="13">
        <v>45567</v>
      </c>
      <c r="C5" t="s">
        <v>47</v>
      </c>
      <c r="D5" s="15">
        <v>-6</v>
      </c>
      <c r="E5" t="s">
        <v>53</v>
      </c>
      <c r="F5">
        <v>3</v>
      </c>
      <c r="G5">
        <v>3</v>
      </c>
      <c r="H5">
        <v>7</v>
      </c>
      <c r="I5">
        <v>6</v>
      </c>
      <c r="J5">
        <f>60+42+42</f>
        <v>144</v>
      </c>
      <c r="K5">
        <f>56+33+35</f>
        <v>124</v>
      </c>
      <c r="L5" t="s">
        <v>54</v>
      </c>
    </row>
    <row r="6" spans="1:12" x14ac:dyDescent="0.25">
      <c r="A6" t="s">
        <v>24</v>
      </c>
      <c r="B6" s="13">
        <v>45567</v>
      </c>
      <c r="C6" t="s">
        <v>48</v>
      </c>
      <c r="D6" s="15">
        <v>-6</v>
      </c>
      <c r="E6" t="s">
        <v>53</v>
      </c>
      <c r="F6">
        <v>3</v>
      </c>
      <c r="G6">
        <v>3</v>
      </c>
      <c r="H6">
        <v>8</v>
      </c>
      <c r="I6">
        <v>6</v>
      </c>
      <c r="J6">
        <f>60+57+42</f>
        <v>159</v>
      </c>
      <c r="K6">
        <f>56+57+25</f>
        <v>138</v>
      </c>
      <c r="L6" t="s">
        <v>54</v>
      </c>
    </row>
    <row r="7" spans="1:12" x14ac:dyDescent="0.25">
      <c r="A7" t="s">
        <v>24</v>
      </c>
      <c r="B7" s="13">
        <v>45567</v>
      </c>
      <c r="C7" t="s">
        <v>49</v>
      </c>
      <c r="D7" s="15">
        <v>2</v>
      </c>
      <c r="E7" t="s">
        <v>54</v>
      </c>
      <c r="F7">
        <v>3</v>
      </c>
      <c r="G7">
        <v>0</v>
      </c>
      <c r="H7">
        <v>6</v>
      </c>
      <c r="I7">
        <v>0</v>
      </c>
      <c r="J7">
        <f>30+33+25</f>
        <v>88</v>
      </c>
      <c r="K7">
        <f>42+42+42</f>
        <v>126</v>
      </c>
      <c r="L7" t="s">
        <v>53</v>
      </c>
    </row>
    <row r="8" spans="1:12" x14ac:dyDescent="0.25">
      <c r="A8" t="s">
        <v>24</v>
      </c>
      <c r="B8" s="13">
        <v>45567</v>
      </c>
      <c r="C8" t="s">
        <v>50</v>
      </c>
      <c r="D8" s="15">
        <v>6</v>
      </c>
      <c r="E8" t="s">
        <v>54</v>
      </c>
      <c r="F8">
        <v>3</v>
      </c>
      <c r="G8">
        <v>0</v>
      </c>
      <c r="H8">
        <v>7</v>
      </c>
      <c r="I8">
        <v>1</v>
      </c>
      <c r="J8">
        <f>30+57+35</f>
        <v>122</v>
      </c>
      <c r="K8">
        <f>42+57+42</f>
        <v>141</v>
      </c>
      <c r="L8" t="s">
        <v>53</v>
      </c>
    </row>
    <row r="9" spans="1:12" x14ac:dyDescent="0.25">
      <c r="A9" t="s">
        <v>24</v>
      </c>
      <c r="B9" s="13">
        <v>45567</v>
      </c>
      <c r="C9" t="s">
        <v>51</v>
      </c>
      <c r="D9" s="15">
        <v>-4</v>
      </c>
      <c r="E9" t="s">
        <v>54</v>
      </c>
      <c r="F9">
        <v>3</v>
      </c>
      <c r="G9">
        <v>0</v>
      </c>
      <c r="H9">
        <v>7</v>
      </c>
      <c r="I9">
        <v>1</v>
      </c>
      <c r="J9">
        <f>56+33+35</f>
        <v>124</v>
      </c>
      <c r="K9">
        <f>60+42+42</f>
        <v>144</v>
      </c>
      <c r="L9" t="s">
        <v>53</v>
      </c>
    </row>
    <row r="10" spans="1:12" x14ac:dyDescent="0.25">
      <c r="A10" t="s">
        <v>24</v>
      </c>
      <c r="B10" s="13">
        <v>45567</v>
      </c>
      <c r="C10" t="s">
        <v>52</v>
      </c>
      <c r="D10" s="15">
        <v>8</v>
      </c>
      <c r="E10" t="s">
        <v>54</v>
      </c>
      <c r="F10">
        <v>3</v>
      </c>
      <c r="G10">
        <v>0</v>
      </c>
      <c r="H10">
        <v>8</v>
      </c>
      <c r="I10">
        <v>2</v>
      </c>
      <c r="J10">
        <f>56+57+25</f>
        <v>138</v>
      </c>
      <c r="K10">
        <f>60+57+42</f>
        <v>159</v>
      </c>
      <c r="L10" t="s">
        <v>53</v>
      </c>
    </row>
    <row r="11" spans="1:12" x14ac:dyDescent="0.25">
      <c r="A11" t="s">
        <v>24</v>
      </c>
      <c r="B11" s="13">
        <v>45568</v>
      </c>
      <c r="C11" t="s">
        <v>34</v>
      </c>
      <c r="D11" s="15">
        <v>-4</v>
      </c>
      <c r="E11" t="s">
        <v>10</v>
      </c>
      <c r="F11">
        <v>3</v>
      </c>
      <c r="G11">
        <v>1</v>
      </c>
      <c r="H11">
        <v>8</v>
      </c>
      <c r="I11">
        <v>3</v>
      </c>
      <c r="J11">
        <f>16+10+0+21+19+21+21+12+13</f>
        <v>133</v>
      </c>
      <c r="K11">
        <f>21+21+0+17+21+17+17+21+21</f>
        <v>156</v>
      </c>
      <c r="L11" t="s">
        <v>13</v>
      </c>
    </row>
    <row r="12" spans="1:12" x14ac:dyDescent="0.25">
      <c r="A12" t="s">
        <v>24</v>
      </c>
      <c r="B12" s="13">
        <v>45568</v>
      </c>
      <c r="C12" t="s">
        <v>36</v>
      </c>
      <c r="D12" s="15">
        <v>0</v>
      </c>
      <c r="E12" t="s">
        <v>10</v>
      </c>
      <c r="F12">
        <v>3</v>
      </c>
      <c r="G12">
        <v>2</v>
      </c>
      <c r="H12">
        <v>8</v>
      </c>
      <c r="I12">
        <v>4</v>
      </c>
      <c r="J12">
        <f>16+10+0+18+21+21+16+21+21</f>
        <v>144</v>
      </c>
      <c r="K12">
        <f>21+21+0+21+17+20+21+19+19</f>
        <v>159</v>
      </c>
      <c r="L12" t="s">
        <v>13</v>
      </c>
    </row>
    <row r="13" spans="1:12" x14ac:dyDescent="0.25">
      <c r="A13" t="s">
        <v>24</v>
      </c>
      <c r="B13" s="13">
        <v>45568</v>
      </c>
      <c r="C13" t="s">
        <v>37</v>
      </c>
      <c r="D13" s="15">
        <v>2</v>
      </c>
      <c r="E13" t="s">
        <v>10</v>
      </c>
      <c r="F13">
        <v>3</v>
      </c>
      <c r="G13">
        <v>2</v>
      </c>
      <c r="H13">
        <v>9</v>
      </c>
      <c r="I13">
        <v>5</v>
      </c>
      <c r="J13">
        <f>21+13+16+21+19+21+16+21+21</f>
        <v>169</v>
      </c>
      <c r="K13">
        <f>14+21+21+17+21+17+21+19+19</f>
        <v>170</v>
      </c>
      <c r="L13" t="s">
        <v>13</v>
      </c>
    </row>
    <row r="14" spans="1:12" x14ac:dyDescent="0.25">
      <c r="A14" t="s">
        <v>24</v>
      </c>
      <c r="B14" s="13">
        <v>45568</v>
      </c>
      <c r="C14" t="s">
        <v>38</v>
      </c>
      <c r="D14" s="15">
        <v>6</v>
      </c>
      <c r="E14" t="s">
        <v>10</v>
      </c>
      <c r="F14">
        <v>3</v>
      </c>
      <c r="G14">
        <v>1</v>
      </c>
      <c r="H14">
        <v>9</v>
      </c>
      <c r="I14">
        <v>4</v>
      </c>
      <c r="J14">
        <f>21+13+16+18+21+21+21+12+13</f>
        <v>156</v>
      </c>
      <c r="K14">
        <f>14+21+21+21+17+20+17+21+21</f>
        <v>173</v>
      </c>
      <c r="L14" t="s">
        <v>13</v>
      </c>
    </row>
    <row r="15" spans="1:12" x14ac:dyDescent="0.25">
      <c r="A15" t="s">
        <v>24</v>
      </c>
      <c r="B15" s="13">
        <v>45568</v>
      </c>
      <c r="C15" t="s">
        <v>39</v>
      </c>
      <c r="D15" s="15">
        <v>4</v>
      </c>
      <c r="E15" t="s">
        <v>13</v>
      </c>
      <c r="F15">
        <v>3</v>
      </c>
      <c r="G15">
        <v>2</v>
      </c>
      <c r="H15">
        <v>8</v>
      </c>
      <c r="I15">
        <v>5</v>
      </c>
      <c r="J15">
        <f>21+21+0+17+21+17+17+21+21</f>
        <v>156</v>
      </c>
      <c r="K15">
        <f>16+10+0+21+19+21+21+12+13</f>
        <v>133</v>
      </c>
      <c r="L15" t="s">
        <v>10</v>
      </c>
    </row>
    <row r="16" spans="1:12" x14ac:dyDescent="0.25">
      <c r="A16" t="s">
        <v>24</v>
      </c>
      <c r="B16" s="13">
        <v>45568</v>
      </c>
      <c r="C16" t="s">
        <v>40</v>
      </c>
      <c r="D16" s="15">
        <v>8</v>
      </c>
      <c r="E16" t="s">
        <v>13</v>
      </c>
      <c r="F16">
        <v>3</v>
      </c>
      <c r="G16">
        <v>1</v>
      </c>
      <c r="H16">
        <v>8</v>
      </c>
      <c r="I16">
        <v>4</v>
      </c>
      <c r="J16">
        <f>21+21+0+21+17+20+21+19+19</f>
        <v>159</v>
      </c>
      <c r="K16">
        <f>16+10+0+18+21+21+16+21+21</f>
        <v>144</v>
      </c>
      <c r="L16" t="s">
        <v>10</v>
      </c>
    </row>
    <row r="17" spans="1:12" x14ac:dyDescent="0.25">
      <c r="A17" t="s">
        <v>24</v>
      </c>
      <c r="B17" s="13">
        <v>45568</v>
      </c>
      <c r="C17" t="s">
        <v>41</v>
      </c>
      <c r="D17" s="15">
        <v>4</v>
      </c>
      <c r="E17" t="s">
        <v>13</v>
      </c>
      <c r="F17">
        <v>3</v>
      </c>
      <c r="G17">
        <v>1</v>
      </c>
      <c r="H17">
        <v>9</v>
      </c>
      <c r="I17">
        <v>4</v>
      </c>
      <c r="J17">
        <f>14+21+21+17+21+17+21+19+19</f>
        <v>170</v>
      </c>
      <c r="K17">
        <f>21+13+16+21+19+21+16+21+21</f>
        <v>169</v>
      </c>
      <c r="L17" t="s">
        <v>10</v>
      </c>
    </row>
    <row r="18" spans="1:12" x14ac:dyDescent="0.25">
      <c r="A18" t="s">
        <v>24</v>
      </c>
      <c r="B18" s="13">
        <v>45568</v>
      </c>
      <c r="C18" t="s">
        <v>42</v>
      </c>
      <c r="D18" s="15">
        <v>8</v>
      </c>
      <c r="E18" t="s">
        <v>13</v>
      </c>
      <c r="F18">
        <v>3</v>
      </c>
      <c r="G18">
        <v>2</v>
      </c>
      <c r="H18">
        <v>9</v>
      </c>
      <c r="I18">
        <v>5</v>
      </c>
      <c r="J18">
        <f>14+21+21+21+17+20+17+21+21</f>
        <v>173</v>
      </c>
      <c r="K18">
        <f>21+13+16+18+21+21+21+12+13</f>
        <v>156</v>
      </c>
      <c r="L18" t="s">
        <v>10</v>
      </c>
    </row>
    <row r="19" spans="1:12" x14ac:dyDescent="0.25">
      <c r="A19" t="s">
        <v>24</v>
      </c>
      <c r="B19" s="13">
        <v>45576</v>
      </c>
      <c r="C19" t="s">
        <v>62</v>
      </c>
      <c r="D19" s="15">
        <v>2</v>
      </c>
      <c r="E19" t="s">
        <v>64</v>
      </c>
      <c r="F19">
        <v>3</v>
      </c>
      <c r="G19">
        <v>0</v>
      </c>
      <c r="H19">
        <v>7</v>
      </c>
      <c r="I19">
        <v>1</v>
      </c>
      <c r="J19">
        <f>57+23+26</f>
        <v>106</v>
      </c>
      <c r="K19">
        <f>62+42+42</f>
        <v>146</v>
      </c>
      <c r="L19" t="s">
        <v>53</v>
      </c>
    </row>
    <row r="20" spans="1:12" x14ac:dyDescent="0.25">
      <c r="A20" t="s">
        <v>24</v>
      </c>
      <c r="B20" s="13">
        <v>45576</v>
      </c>
      <c r="C20" t="s">
        <v>50</v>
      </c>
      <c r="D20" s="15">
        <v>6</v>
      </c>
      <c r="E20" t="s">
        <v>64</v>
      </c>
      <c r="F20">
        <v>3</v>
      </c>
      <c r="G20">
        <v>0</v>
      </c>
      <c r="H20">
        <v>7</v>
      </c>
      <c r="I20">
        <v>1</v>
      </c>
      <c r="J20">
        <f>57+26+32</f>
        <v>115</v>
      </c>
      <c r="K20">
        <f>62+42+42</f>
        <v>146</v>
      </c>
      <c r="L20" t="s">
        <v>53</v>
      </c>
    </row>
    <row r="21" spans="1:12" x14ac:dyDescent="0.25">
      <c r="A21" t="s">
        <v>24</v>
      </c>
      <c r="B21" s="13">
        <v>45576</v>
      </c>
      <c r="C21" t="s">
        <v>59</v>
      </c>
      <c r="D21" s="15">
        <v>6</v>
      </c>
      <c r="E21" t="s">
        <v>64</v>
      </c>
      <c r="F21">
        <v>3</v>
      </c>
      <c r="G21">
        <v>0</v>
      </c>
      <c r="H21">
        <v>6</v>
      </c>
      <c r="I21">
        <v>0</v>
      </c>
      <c r="J21">
        <f>35+23+32</f>
        <v>90</v>
      </c>
      <c r="K21">
        <f>42+42+42</f>
        <v>126</v>
      </c>
      <c r="L21" t="s">
        <v>53</v>
      </c>
    </row>
    <row r="22" spans="1:12" x14ac:dyDescent="0.25">
      <c r="A22" t="s">
        <v>24</v>
      </c>
      <c r="B22" s="13">
        <v>45576</v>
      </c>
      <c r="C22" t="s">
        <v>52</v>
      </c>
      <c r="D22" s="15">
        <v>8</v>
      </c>
      <c r="E22" t="s">
        <v>64</v>
      </c>
      <c r="F22">
        <v>3</v>
      </c>
      <c r="G22">
        <v>0</v>
      </c>
      <c r="H22">
        <v>6</v>
      </c>
      <c r="I22">
        <v>0</v>
      </c>
      <c r="J22">
        <f>35+26+26</f>
        <v>87</v>
      </c>
      <c r="K22">
        <f>42+42+42</f>
        <v>126</v>
      </c>
      <c r="L22" t="s">
        <v>53</v>
      </c>
    </row>
    <row r="23" spans="1:12" x14ac:dyDescent="0.25">
      <c r="A23" t="s">
        <v>24</v>
      </c>
      <c r="B23" s="13">
        <v>45576</v>
      </c>
      <c r="C23" t="s">
        <v>45</v>
      </c>
      <c r="D23" s="15">
        <v>-6</v>
      </c>
      <c r="E23" t="s">
        <v>65</v>
      </c>
      <c r="F23">
        <v>3</v>
      </c>
      <c r="G23">
        <v>3</v>
      </c>
      <c r="H23">
        <v>7</v>
      </c>
      <c r="I23">
        <v>6</v>
      </c>
      <c r="J23">
        <f>62+42+42</f>
        <v>146</v>
      </c>
      <c r="K23">
        <f>57+23+26</f>
        <v>106</v>
      </c>
      <c r="L23" t="s">
        <v>54</v>
      </c>
    </row>
    <row r="24" spans="1:12" x14ac:dyDescent="0.25">
      <c r="A24" t="s">
        <v>24</v>
      </c>
      <c r="B24" s="13">
        <v>45576</v>
      </c>
      <c r="C24" t="s">
        <v>46</v>
      </c>
      <c r="D24" s="15">
        <v>-2</v>
      </c>
      <c r="E24" t="s">
        <v>65</v>
      </c>
      <c r="F24">
        <v>3</v>
      </c>
      <c r="G24">
        <v>3</v>
      </c>
      <c r="H24">
        <v>7</v>
      </c>
      <c r="I24">
        <v>6</v>
      </c>
      <c r="J24">
        <f>62+42+42</f>
        <v>146</v>
      </c>
      <c r="K24">
        <f>57+26+32</f>
        <v>115</v>
      </c>
      <c r="L24" t="s">
        <v>54</v>
      </c>
    </row>
    <row r="25" spans="1:12" x14ac:dyDescent="0.25">
      <c r="A25" t="s">
        <v>24</v>
      </c>
      <c r="B25" s="13">
        <v>45576</v>
      </c>
      <c r="C25" t="s">
        <v>48</v>
      </c>
      <c r="D25" s="15">
        <v>-6</v>
      </c>
      <c r="E25" t="s">
        <v>65</v>
      </c>
      <c r="F25">
        <v>3</v>
      </c>
      <c r="G25">
        <v>3</v>
      </c>
      <c r="H25">
        <v>6</v>
      </c>
      <c r="I25">
        <v>6</v>
      </c>
      <c r="J25">
        <f>42+42+42</f>
        <v>126</v>
      </c>
      <c r="K25">
        <f>35+23+32</f>
        <v>90</v>
      </c>
      <c r="L25" t="s">
        <v>54</v>
      </c>
    </row>
    <row r="26" spans="1:12" x14ac:dyDescent="0.25">
      <c r="A26" t="s">
        <v>24</v>
      </c>
      <c r="B26" s="13">
        <v>45576</v>
      </c>
      <c r="C26" t="s">
        <v>63</v>
      </c>
      <c r="D26" s="15">
        <v>-2</v>
      </c>
      <c r="E26" t="s">
        <v>65</v>
      </c>
      <c r="F26">
        <v>3</v>
      </c>
      <c r="G26">
        <v>3</v>
      </c>
      <c r="H26">
        <v>6</v>
      </c>
      <c r="I26">
        <v>6</v>
      </c>
      <c r="J26">
        <f>42+42+42</f>
        <v>126</v>
      </c>
      <c r="K26">
        <f>35+26+26</f>
        <v>87</v>
      </c>
      <c r="L26" t="s">
        <v>54</v>
      </c>
    </row>
    <row r="27" spans="1:12" x14ac:dyDescent="0.25">
      <c r="A27" t="s">
        <v>24</v>
      </c>
      <c r="B27" s="13">
        <v>45578</v>
      </c>
      <c r="C27" t="s">
        <v>67</v>
      </c>
      <c r="D27" s="15">
        <v>0</v>
      </c>
      <c r="E27" t="s">
        <v>18</v>
      </c>
      <c r="F27">
        <v>3</v>
      </c>
      <c r="G27">
        <v>2</v>
      </c>
      <c r="H27">
        <v>6</v>
      </c>
      <c r="I27">
        <v>4</v>
      </c>
      <c r="J27">
        <f>42+34+42</f>
        <v>118</v>
      </c>
      <c r="K27">
        <f>25+42+32</f>
        <v>99</v>
      </c>
      <c r="L27" t="s">
        <v>10</v>
      </c>
    </row>
    <row r="28" spans="1:12" x14ac:dyDescent="0.25">
      <c r="A28" t="s">
        <v>24</v>
      </c>
      <c r="B28" s="13">
        <v>45578</v>
      </c>
      <c r="C28" t="s">
        <v>68</v>
      </c>
      <c r="D28" s="15">
        <v>2</v>
      </c>
      <c r="E28" t="s">
        <v>18</v>
      </c>
      <c r="F28">
        <v>3</v>
      </c>
      <c r="G28">
        <v>3</v>
      </c>
      <c r="H28">
        <v>7</v>
      </c>
      <c r="I28">
        <v>6</v>
      </c>
      <c r="J28">
        <f>42+42+58</f>
        <v>142</v>
      </c>
      <c r="K28">
        <f>25+20+53</f>
        <v>98</v>
      </c>
      <c r="L28" t="s">
        <v>10</v>
      </c>
    </row>
    <row r="29" spans="1:12" x14ac:dyDescent="0.25">
      <c r="A29" t="s">
        <v>24</v>
      </c>
      <c r="B29" s="13">
        <v>45578</v>
      </c>
      <c r="C29" t="s">
        <v>69</v>
      </c>
      <c r="D29" s="15">
        <v>4</v>
      </c>
      <c r="E29" t="s">
        <v>18</v>
      </c>
      <c r="F29">
        <v>3</v>
      </c>
      <c r="G29">
        <v>2</v>
      </c>
      <c r="H29">
        <v>7</v>
      </c>
      <c r="I29">
        <v>4</v>
      </c>
      <c r="J29">
        <f>42+34+58</f>
        <v>134</v>
      </c>
      <c r="K29">
        <f>23+42+53</f>
        <v>118</v>
      </c>
      <c r="L29" t="s">
        <v>10</v>
      </c>
    </row>
    <row r="30" spans="1:12" x14ac:dyDescent="0.25">
      <c r="A30" t="s">
        <v>24</v>
      </c>
      <c r="B30" s="13">
        <v>45578</v>
      </c>
      <c r="C30" t="s">
        <v>70</v>
      </c>
      <c r="D30" s="15">
        <v>-6</v>
      </c>
      <c r="E30" t="s">
        <v>18</v>
      </c>
      <c r="F30">
        <v>3</v>
      </c>
      <c r="G30">
        <v>3</v>
      </c>
      <c r="H30">
        <v>6</v>
      </c>
      <c r="I30">
        <v>6</v>
      </c>
      <c r="J30">
        <f>42+42+42</f>
        <v>126</v>
      </c>
      <c r="K30">
        <f>23+20+32</f>
        <v>75</v>
      </c>
      <c r="L30" t="s">
        <v>10</v>
      </c>
    </row>
    <row r="31" spans="1:12" x14ac:dyDescent="0.25">
      <c r="A31" t="s">
        <v>24</v>
      </c>
      <c r="B31" s="13">
        <v>45578</v>
      </c>
      <c r="C31" t="s">
        <v>34</v>
      </c>
      <c r="D31" s="15">
        <v>-4</v>
      </c>
      <c r="E31" t="s">
        <v>10</v>
      </c>
      <c r="F31">
        <v>3</v>
      </c>
      <c r="G31">
        <v>1</v>
      </c>
      <c r="H31">
        <v>6</v>
      </c>
      <c r="I31">
        <v>2</v>
      </c>
      <c r="J31">
        <f>25+42+32</f>
        <v>99</v>
      </c>
      <c r="K31">
        <f>42+34+42</f>
        <v>118</v>
      </c>
      <c r="L31" t="s">
        <v>18</v>
      </c>
    </row>
    <row r="32" spans="1:12" x14ac:dyDescent="0.25">
      <c r="A32" t="s">
        <v>24</v>
      </c>
      <c r="B32" s="13">
        <v>45578</v>
      </c>
      <c r="C32" t="s">
        <v>36</v>
      </c>
      <c r="D32" s="15">
        <v>0</v>
      </c>
      <c r="E32" t="s">
        <v>10</v>
      </c>
      <c r="F32">
        <v>3</v>
      </c>
      <c r="G32">
        <v>0</v>
      </c>
      <c r="H32">
        <v>7</v>
      </c>
      <c r="I32">
        <v>1</v>
      </c>
      <c r="J32">
        <f>25+20+53</f>
        <v>98</v>
      </c>
      <c r="K32">
        <f>42+42+58</f>
        <v>142</v>
      </c>
      <c r="L32" t="s">
        <v>18</v>
      </c>
    </row>
    <row r="33" spans="1:12" x14ac:dyDescent="0.25">
      <c r="A33" t="s">
        <v>24</v>
      </c>
      <c r="B33" s="13">
        <v>45578</v>
      </c>
      <c r="C33" t="s">
        <v>71</v>
      </c>
      <c r="D33" s="15">
        <v>-2</v>
      </c>
      <c r="E33" t="s">
        <v>10</v>
      </c>
      <c r="F33">
        <v>3</v>
      </c>
      <c r="G33">
        <v>1</v>
      </c>
      <c r="H33">
        <v>7</v>
      </c>
      <c r="I33">
        <v>3</v>
      </c>
      <c r="J33">
        <f>23+42+53</f>
        <v>118</v>
      </c>
      <c r="K33">
        <f>42+34+58</f>
        <v>134</v>
      </c>
      <c r="L33" t="s">
        <v>18</v>
      </c>
    </row>
    <row r="34" spans="1:12" x14ac:dyDescent="0.25">
      <c r="A34" t="s">
        <v>24</v>
      </c>
      <c r="B34" s="13">
        <v>45578</v>
      </c>
      <c r="C34" t="s">
        <v>72</v>
      </c>
      <c r="D34" s="15">
        <v>0</v>
      </c>
      <c r="E34" t="s">
        <v>10</v>
      </c>
      <c r="F34">
        <v>3</v>
      </c>
      <c r="G34">
        <v>0</v>
      </c>
      <c r="H34">
        <v>6</v>
      </c>
      <c r="I34">
        <v>0</v>
      </c>
      <c r="J34">
        <f>23+20+32</f>
        <v>75</v>
      </c>
      <c r="K34">
        <f>42+42+42</f>
        <v>126</v>
      </c>
      <c r="L34" t="s">
        <v>18</v>
      </c>
    </row>
    <row r="35" spans="1:12" x14ac:dyDescent="0.25">
      <c r="A35" t="s">
        <v>24</v>
      </c>
      <c r="B35" s="13">
        <v>45583</v>
      </c>
      <c r="C35" t="s">
        <v>62</v>
      </c>
      <c r="D35" s="15">
        <v>2</v>
      </c>
      <c r="E35" t="s">
        <v>54</v>
      </c>
      <c r="F35">
        <v>3</v>
      </c>
      <c r="G35">
        <v>1</v>
      </c>
      <c r="H35">
        <v>9</v>
      </c>
      <c r="I35">
        <v>4</v>
      </c>
      <c r="J35">
        <f>53+40+45</f>
        <v>138</v>
      </c>
      <c r="K35">
        <f>52+57+59</f>
        <v>168</v>
      </c>
      <c r="L35" t="s">
        <v>12</v>
      </c>
    </row>
    <row r="36" spans="1:12" x14ac:dyDescent="0.25">
      <c r="A36" t="s">
        <v>24</v>
      </c>
      <c r="B36" s="13">
        <v>45583</v>
      </c>
      <c r="C36" t="s">
        <v>50</v>
      </c>
      <c r="D36" s="15">
        <v>6</v>
      </c>
      <c r="E36" t="s">
        <v>54</v>
      </c>
      <c r="F36">
        <v>3</v>
      </c>
      <c r="G36">
        <v>1</v>
      </c>
      <c r="H36">
        <v>8</v>
      </c>
      <c r="I36">
        <v>3</v>
      </c>
      <c r="J36">
        <f>53+46+32</f>
        <v>131</v>
      </c>
      <c r="K36">
        <f>52+61+42</f>
        <v>155</v>
      </c>
      <c r="L36" t="s">
        <v>12</v>
      </c>
    </row>
    <row r="37" spans="1:12" x14ac:dyDescent="0.25">
      <c r="A37" t="s">
        <v>24</v>
      </c>
      <c r="B37" s="13">
        <v>45583</v>
      </c>
      <c r="C37" t="s">
        <v>59</v>
      </c>
      <c r="D37" s="15">
        <v>6</v>
      </c>
      <c r="E37" t="s">
        <v>54</v>
      </c>
      <c r="F37">
        <v>3</v>
      </c>
      <c r="G37">
        <v>0</v>
      </c>
      <c r="H37">
        <v>8</v>
      </c>
      <c r="I37">
        <v>2</v>
      </c>
      <c r="J37">
        <f>53+40+32</f>
        <v>125</v>
      </c>
      <c r="K37">
        <f>62+57+42</f>
        <v>161</v>
      </c>
      <c r="L37" t="s">
        <v>12</v>
      </c>
    </row>
    <row r="38" spans="1:12" x14ac:dyDescent="0.25">
      <c r="A38" t="s">
        <v>24</v>
      </c>
      <c r="B38" s="13">
        <v>45583</v>
      </c>
      <c r="C38" t="s">
        <v>52</v>
      </c>
      <c r="D38" s="15">
        <v>8</v>
      </c>
      <c r="E38" t="s">
        <v>54</v>
      </c>
      <c r="F38">
        <v>3</v>
      </c>
      <c r="G38">
        <v>0</v>
      </c>
      <c r="H38">
        <v>9</v>
      </c>
      <c r="I38">
        <v>3</v>
      </c>
      <c r="J38">
        <f>53+46+45</f>
        <v>144</v>
      </c>
      <c r="K38">
        <f>62+61+59</f>
        <v>182</v>
      </c>
      <c r="L38" t="s">
        <v>12</v>
      </c>
    </row>
    <row r="39" spans="1:12" x14ac:dyDescent="0.25">
      <c r="A39" t="s">
        <v>24</v>
      </c>
      <c r="B39" s="13">
        <v>45583</v>
      </c>
      <c r="C39" t="s">
        <v>132</v>
      </c>
      <c r="D39" s="15">
        <v>10</v>
      </c>
      <c r="E39" t="s">
        <v>12</v>
      </c>
      <c r="F39">
        <v>3</v>
      </c>
      <c r="G39">
        <v>2</v>
      </c>
      <c r="H39">
        <v>9</v>
      </c>
      <c r="I39">
        <v>5</v>
      </c>
      <c r="J39">
        <f>52+57+59</f>
        <v>168</v>
      </c>
      <c r="K39">
        <f>53+40+45</f>
        <v>138</v>
      </c>
      <c r="L39" t="s">
        <v>54</v>
      </c>
    </row>
    <row r="40" spans="1:12" x14ac:dyDescent="0.25">
      <c r="A40" t="s">
        <v>24</v>
      </c>
      <c r="B40" s="13">
        <v>45583</v>
      </c>
      <c r="C40" t="s">
        <v>133</v>
      </c>
      <c r="D40" s="15">
        <v>12</v>
      </c>
      <c r="E40" t="s">
        <v>12</v>
      </c>
      <c r="F40">
        <v>3</v>
      </c>
      <c r="G40">
        <v>2</v>
      </c>
      <c r="H40">
        <v>8</v>
      </c>
      <c r="I40">
        <v>5</v>
      </c>
      <c r="J40">
        <f>52+61+42</f>
        <v>155</v>
      </c>
      <c r="K40">
        <f>53+46+32</f>
        <v>131</v>
      </c>
      <c r="L40" t="s">
        <v>54</v>
      </c>
    </row>
    <row r="41" spans="1:12" x14ac:dyDescent="0.25">
      <c r="A41" t="s">
        <v>24</v>
      </c>
      <c r="B41" s="13">
        <v>45583</v>
      </c>
      <c r="C41" t="s">
        <v>134</v>
      </c>
      <c r="D41" s="15">
        <v>6</v>
      </c>
      <c r="E41" t="s">
        <v>12</v>
      </c>
      <c r="F41">
        <v>3</v>
      </c>
      <c r="G41">
        <v>3</v>
      </c>
      <c r="H41">
        <v>8</v>
      </c>
      <c r="I41">
        <v>6</v>
      </c>
      <c r="J41">
        <f>62+57+42</f>
        <v>161</v>
      </c>
      <c r="K41">
        <f>53+40+32</f>
        <v>125</v>
      </c>
      <c r="L41" t="s">
        <v>54</v>
      </c>
    </row>
    <row r="42" spans="1:12" x14ac:dyDescent="0.25">
      <c r="A42" t="s">
        <v>24</v>
      </c>
      <c r="B42" s="13">
        <v>45583</v>
      </c>
      <c r="C42" t="s">
        <v>135</v>
      </c>
      <c r="D42" s="15">
        <v>14</v>
      </c>
      <c r="E42" t="s">
        <v>12</v>
      </c>
      <c r="F42">
        <v>3</v>
      </c>
      <c r="G42">
        <v>3</v>
      </c>
      <c r="H42">
        <v>9</v>
      </c>
      <c r="I42">
        <v>6</v>
      </c>
      <c r="J42">
        <f>62+61+59</f>
        <v>182</v>
      </c>
      <c r="K42">
        <f>53+46+45</f>
        <v>144</v>
      </c>
      <c r="L42" t="s">
        <v>54</v>
      </c>
    </row>
    <row r="43" spans="1:12" x14ac:dyDescent="0.25">
      <c r="A43" t="s">
        <v>24</v>
      </c>
      <c r="B43" s="13">
        <v>45586</v>
      </c>
      <c r="C43" t="s">
        <v>144</v>
      </c>
      <c r="D43" s="15">
        <v>2</v>
      </c>
      <c r="E43" t="s">
        <v>18</v>
      </c>
      <c r="F43">
        <v>3</v>
      </c>
      <c r="G43">
        <v>2</v>
      </c>
      <c r="H43">
        <v>8</v>
      </c>
      <c r="I43">
        <v>5</v>
      </c>
      <c r="J43">
        <f>59+42+61</f>
        <v>162</v>
      </c>
      <c r="K43">
        <f>56+25+62</f>
        <v>143</v>
      </c>
      <c r="L43" t="s">
        <v>13</v>
      </c>
    </row>
    <row r="44" spans="1:12" x14ac:dyDescent="0.25">
      <c r="A44" t="s">
        <v>24</v>
      </c>
      <c r="B44" s="13">
        <v>45586</v>
      </c>
      <c r="C44" t="s">
        <v>68</v>
      </c>
      <c r="D44" s="15">
        <v>2</v>
      </c>
      <c r="E44" t="s">
        <v>18</v>
      </c>
      <c r="F44">
        <v>3</v>
      </c>
      <c r="G44">
        <v>2</v>
      </c>
      <c r="H44">
        <v>9</v>
      </c>
      <c r="I44">
        <v>5</v>
      </c>
      <c r="J44">
        <f>59+54+53</f>
        <v>166</v>
      </c>
      <c r="K44">
        <f>56+58+43</f>
        <v>157</v>
      </c>
      <c r="L44" t="s">
        <v>13</v>
      </c>
    </row>
    <row r="45" spans="1:12" x14ac:dyDescent="0.25">
      <c r="A45" t="s">
        <v>24</v>
      </c>
      <c r="B45" s="13">
        <v>45586</v>
      </c>
      <c r="C45" t="s">
        <v>142</v>
      </c>
      <c r="D45" s="15">
        <v>2</v>
      </c>
      <c r="E45" t="s">
        <v>18</v>
      </c>
      <c r="F45">
        <v>3</v>
      </c>
      <c r="G45">
        <v>3</v>
      </c>
      <c r="H45">
        <v>7</v>
      </c>
      <c r="I45">
        <v>6</v>
      </c>
      <c r="J45">
        <f>42+42+53</f>
        <v>137</v>
      </c>
      <c r="K45">
        <f>36+25+43</f>
        <v>104</v>
      </c>
      <c r="L45" t="s">
        <v>13</v>
      </c>
    </row>
    <row r="46" spans="1:12" x14ac:dyDescent="0.25">
      <c r="A46" t="s">
        <v>24</v>
      </c>
      <c r="B46" s="13">
        <v>45586</v>
      </c>
      <c r="C46" t="s">
        <v>69</v>
      </c>
      <c r="D46" s="15">
        <v>4</v>
      </c>
      <c r="E46" t="s">
        <v>18</v>
      </c>
      <c r="F46">
        <v>3</v>
      </c>
      <c r="G46">
        <v>1</v>
      </c>
      <c r="H46">
        <v>8</v>
      </c>
      <c r="I46">
        <v>4</v>
      </c>
      <c r="J46">
        <f>42+54+61</f>
        <v>157</v>
      </c>
      <c r="K46">
        <f>36+58+62</f>
        <v>156</v>
      </c>
      <c r="L46" t="s">
        <v>13</v>
      </c>
    </row>
    <row r="47" spans="1:12" x14ac:dyDescent="0.25">
      <c r="A47" t="s">
        <v>24</v>
      </c>
      <c r="B47" s="13">
        <v>45586</v>
      </c>
      <c r="C47" t="s">
        <v>145</v>
      </c>
      <c r="D47" s="15">
        <v>0</v>
      </c>
      <c r="E47" t="s">
        <v>13</v>
      </c>
      <c r="F47">
        <v>3</v>
      </c>
      <c r="G47">
        <v>1</v>
      </c>
      <c r="H47">
        <v>8</v>
      </c>
      <c r="I47">
        <v>3</v>
      </c>
      <c r="J47">
        <f>56+25+62</f>
        <v>143</v>
      </c>
      <c r="K47">
        <f>59+42+61</f>
        <v>162</v>
      </c>
      <c r="L47" t="s">
        <v>18</v>
      </c>
    </row>
    <row r="48" spans="1:12" x14ac:dyDescent="0.25">
      <c r="A48" t="s">
        <v>24</v>
      </c>
      <c r="B48" s="13">
        <v>45586</v>
      </c>
      <c r="C48" t="s">
        <v>39</v>
      </c>
      <c r="D48" s="15">
        <v>4</v>
      </c>
      <c r="E48" t="s">
        <v>13</v>
      </c>
      <c r="F48">
        <v>3</v>
      </c>
      <c r="G48">
        <v>1</v>
      </c>
      <c r="H48">
        <v>9</v>
      </c>
      <c r="I48">
        <v>4</v>
      </c>
      <c r="J48">
        <f>56+58+43</f>
        <v>157</v>
      </c>
      <c r="K48">
        <f>59+54+53</f>
        <v>166</v>
      </c>
      <c r="L48" t="s">
        <v>18</v>
      </c>
    </row>
    <row r="49" spans="1:12" x14ac:dyDescent="0.25">
      <c r="A49" t="s">
        <v>24</v>
      </c>
      <c r="B49" s="13">
        <v>45586</v>
      </c>
      <c r="C49" t="s">
        <v>146</v>
      </c>
      <c r="D49" s="15">
        <v>6</v>
      </c>
      <c r="E49" t="s">
        <v>13</v>
      </c>
      <c r="F49">
        <v>3</v>
      </c>
      <c r="G49">
        <v>0</v>
      </c>
      <c r="H49">
        <v>7</v>
      </c>
      <c r="I49">
        <v>1</v>
      </c>
      <c r="J49">
        <f>36+25+43</f>
        <v>104</v>
      </c>
      <c r="K49">
        <f>42+42+53</f>
        <v>137</v>
      </c>
      <c r="L49" t="s">
        <v>18</v>
      </c>
    </row>
    <row r="50" spans="1:12" x14ac:dyDescent="0.25">
      <c r="A50" t="s">
        <v>24</v>
      </c>
      <c r="B50" s="13">
        <v>45586</v>
      </c>
      <c r="C50" t="s">
        <v>147</v>
      </c>
      <c r="D50" s="15">
        <v>6</v>
      </c>
      <c r="E50" t="s">
        <v>13</v>
      </c>
      <c r="F50">
        <v>3</v>
      </c>
      <c r="G50">
        <v>2</v>
      </c>
      <c r="H50">
        <v>8</v>
      </c>
      <c r="I50">
        <v>4</v>
      </c>
      <c r="J50">
        <f>36+58+62</f>
        <v>156</v>
      </c>
      <c r="K50">
        <f>42+54+61</f>
        <v>157</v>
      </c>
      <c r="L50" t="s">
        <v>18</v>
      </c>
    </row>
    <row r="51" spans="1:12" x14ac:dyDescent="0.25">
      <c r="A51" t="s">
        <v>24</v>
      </c>
      <c r="B51" s="13">
        <v>45589</v>
      </c>
      <c r="C51" t="s">
        <v>34</v>
      </c>
      <c r="D51" s="15">
        <v>-4</v>
      </c>
      <c r="E51" t="s">
        <v>10</v>
      </c>
      <c r="F51">
        <v>3</v>
      </c>
      <c r="G51">
        <v>3</v>
      </c>
      <c r="H51">
        <v>7</v>
      </c>
      <c r="I51">
        <v>6</v>
      </c>
      <c r="J51">
        <f>42+42+55</f>
        <v>139</v>
      </c>
      <c r="K51">
        <f>31+31+58</f>
        <v>120</v>
      </c>
      <c r="L51" t="s">
        <v>54</v>
      </c>
    </row>
    <row r="52" spans="1:12" x14ac:dyDescent="0.25">
      <c r="A52" t="s">
        <v>24</v>
      </c>
      <c r="B52" s="13">
        <v>45589</v>
      </c>
      <c r="C52" t="s">
        <v>36</v>
      </c>
      <c r="D52" s="15">
        <v>0</v>
      </c>
      <c r="E52" t="s">
        <v>10</v>
      </c>
      <c r="F52">
        <v>3</v>
      </c>
      <c r="G52">
        <v>1</v>
      </c>
      <c r="H52">
        <v>7</v>
      </c>
      <c r="I52">
        <v>3</v>
      </c>
      <c r="J52">
        <f>42+55+34</f>
        <v>131</v>
      </c>
      <c r="K52">
        <f>31+60+42</f>
        <v>133</v>
      </c>
      <c r="L52" t="s">
        <v>54</v>
      </c>
    </row>
    <row r="53" spans="1:12" x14ac:dyDescent="0.25">
      <c r="A53" t="s">
        <v>24</v>
      </c>
      <c r="B53" s="13">
        <v>45589</v>
      </c>
      <c r="C53" t="s">
        <v>71</v>
      </c>
      <c r="D53" s="15">
        <v>-2</v>
      </c>
      <c r="E53" t="s">
        <v>10</v>
      </c>
      <c r="F53">
        <v>3</v>
      </c>
      <c r="G53">
        <v>1</v>
      </c>
      <c r="H53">
        <v>6</v>
      </c>
      <c r="I53">
        <v>2</v>
      </c>
      <c r="J53">
        <f>35+42+34</f>
        <v>111</v>
      </c>
      <c r="K53">
        <f>42+31+42</f>
        <v>115</v>
      </c>
      <c r="L53" t="s">
        <v>54</v>
      </c>
    </row>
    <row r="54" spans="1:12" x14ac:dyDescent="0.25">
      <c r="A54" t="s">
        <v>24</v>
      </c>
      <c r="B54" s="13">
        <v>45589</v>
      </c>
      <c r="C54" t="s">
        <v>162</v>
      </c>
      <c r="D54" s="15">
        <v>2</v>
      </c>
      <c r="E54" t="s">
        <v>10</v>
      </c>
      <c r="F54">
        <v>3</v>
      </c>
      <c r="G54">
        <v>1</v>
      </c>
      <c r="H54">
        <v>8</v>
      </c>
      <c r="I54">
        <v>3</v>
      </c>
      <c r="J54">
        <f>35+55+55</f>
        <v>145</v>
      </c>
      <c r="K54">
        <f>42+60+58</f>
        <v>160</v>
      </c>
      <c r="L54" t="s">
        <v>54</v>
      </c>
    </row>
    <row r="55" spans="1:12" x14ac:dyDescent="0.25">
      <c r="A55" t="s">
        <v>24</v>
      </c>
      <c r="B55" s="13">
        <v>45589</v>
      </c>
      <c r="C55" t="s">
        <v>163</v>
      </c>
      <c r="D55" s="15">
        <v>0</v>
      </c>
      <c r="E55" t="s">
        <v>54</v>
      </c>
      <c r="F55">
        <v>3</v>
      </c>
      <c r="G55">
        <v>0</v>
      </c>
      <c r="H55">
        <v>7</v>
      </c>
      <c r="I55">
        <v>1</v>
      </c>
      <c r="J55">
        <f>31+31+58</f>
        <v>120</v>
      </c>
      <c r="K55">
        <f>42+42+55</f>
        <v>139</v>
      </c>
      <c r="L55" t="s">
        <v>10</v>
      </c>
    </row>
    <row r="56" spans="1:12" x14ac:dyDescent="0.25">
      <c r="A56" t="s">
        <v>24</v>
      </c>
      <c r="B56" s="13">
        <v>45589</v>
      </c>
      <c r="C56" t="s">
        <v>49</v>
      </c>
      <c r="D56" s="15">
        <v>2</v>
      </c>
      <c r="E56" t="s">
        <v>54</v>
      </c>
      <c r="F56">
        <v>3</v>
      </c>
      <c r="G56">
        <v>2</v>
      </c>
      <c r="H56">
        <v>7</v>
      </c>
      <c r="I56">
        <v>4</v>
      </c>
      <c r="J56">
        <f>31+60+42</f>
        <v>133</v>
      </c>
      <c r="K56">
        <f>42+55+34</f>
        <v>131</v>
      </c>
      <c r="L56" t="s">
        <v>10</v>
      </c>
    </row>
    <row r="57" spans="1:12" x14ac:dyDescent="0.25">
      <c r="A57" t="s">
        <v>24</v>
      </c>
      <c r="B57" s="13">
        <v>45589</v>
      </c>
      <c r="C57" t="s">
        <v>156</v>
      </c>
      <c r="D57" s="15">
        <v>-4</v>
      </c>
      <c r="E57" t="s">
        <v>54</v>
      </c>
      <c r="F57">
        <v>3</v>
      </c>
      <c r="G57">
        <v>2</v>
      </c>
      <c r="H57">
        <v>6</v>
      </c>
      <c r="I57">
        <v>4</v>
      </c>
      <c r="J57">
        <f>42+31+42</f>
        <v>115</v>
      </c>
      <c r="K57">
        <f>35+42+34</f>
        <v>111</v>
      </c>
      <c r="L57" t="s">
        <v>10</v>
      </c>
    </row>
    <row r="58" spans="1:12" x14ac:dyDescent="0.25">
      <c r="A58" t="s">
        <v>24</v>
      </c>
      <c r="B58" s="13">
        <v>45589</v>
      </c>
      <c r="C58" t="s">
        <v>52</v>
      </c>
      <c r="D58" s="15">
        <v>8</v>
      </c>
      <c r="E58" t="s">
        <v>54</v>
      </c>
      <c r="F58">
        <v>3</v>
      </c>
      <c r="G58">
        <v>2</v>
      </c>
      <c r="H58">
        <v>8</v>
      </c>
      <c r="I58">
        <v>5</v>
      </c>
      <c r="J58">
        <f>42+60+58</f>
        <v>160</v>
      </c>
      <c r="K58">
        <f>35+55+55</f>
        <v>145</v>
      </c>
      <c r="L58" t="s">
        <v>10</v>
      </c>
    </row>
    <row r="59" spans="1:12" x14ac:dyDescent="0.25">
      <c r="A59" t="s">
        <v>24</v>
      </c>
      <c r="B59" s="13">
        <v>45610</v>
      </c>
      <c r="C59" t="s">
        <v>34</v>
      </c>
      <c r="D59" s="15">
        <v>-4</v>
      </c>
      <c r="E59" t="s">
        <v>10</v>
      </c>
      <c r="F59">
        <v>3</v>
      </c>
      <c r="G59">
        <v>1</v>
      </c>
      <c r="H59">
        <v>8</v>
      </c>
      <c r="I59">
        <v>3</v>
      </c>
      <c r="J59">
        <f>15+46+58</f>
        <v>119</v>
      </c>
      <c r="K59">
        <f>42+56+48</f>
        <v>146</v>
      </c>
      <c r="L59" t="s">
        <v>53</v>
      </c>
    </row>
    <row r="60" spans="1:12" x14ac:dyDescent="0.25">
      <c r="A60" t="s">
        <v>24</v>
      </c>
      <c r="B60" s="13">
        <v>45610</v>
      </c>
      <c r="C60" t="s">
        <v>36</v>
      </c>
      <c r="D60" s="15">
        <v>0</v>
      </c>
      <c r="E60" t="s">
        <v>10</v>
      </c>
      <c r="F60">
        <v>3</v>
      </c>
      <c r="G60">
        <v>1</v>
      </c>
      <c r="H60">
        <v>7</v>
      </c>
      <c r="I60">
        <v>2</v>
      </c>
      <c r="J60">
        <f>15+59+38</f>
        <v>112</v>
      </c>
      <c r="K60">
        <f>42+49+42</f>
        <v>133</v>
      </c>
      <c r="L60" t="s">
        <v>53</v>
      </c>
    </row>
    <row r="61" spans="1:12" x14ac:dyDescent="0.25">
      <c r="A61" t="s">
        <v>24</v>
      </c>
      <c r="B61" s="13">
        <v>45610</v>
      </c>
      <c r="C61" t="s">
        <v>71</v>
      </c>
      <c r="D61" s="15">
        <v>-2</v>
      </c>
      <c r="E61" t="s">
        <v>10</v>
      </c>
      <c r="F61">
        <v>3</v>
      </c>
      <c r="G61">
        <v>1</v>
      </c>
      <c r="H61">
        <v>7</v>
      </c>
      <c r="I61">
        <v>3</v>
      </c>
      <c r="J61">
        <f>42+46+38</f>
        <v>126</v>
      </c>
      <c r="K61">
        <f>31+56+42</f>
        <v>129</v>
      </c>
      <c r="L61" t="s">
        <v>53</v>
      </c>
    </row>
    <row r="62" spans="1:12" x14ac:dyDescent="0.25">
      <c r="A62" t="s">
        <v>24</v>
      </c>
      <c r="B62" s="13">
        <v>45610</v>
      </c>
      <c r="C62" t="s">
        <v>58</v>
      </c>
      <c r="D62" s="15">
        <v>0</v>
      </c>
      <c r="E62" t="s">
        <v>10</v>
      </c>
      <c r="F62">
        <v>3</v>
      </c>
      <c r="G62">
        <v>3</v>
      </c>
      <c r="H62">
        <v>8</v>
      </c>
      <c r="I62">
        <v>6</v>
      </c>
      <c r="J62">
        <f>42+59+58</f>
        <v>159</v>
      </c>
      <c r="K62">
        <f>31+49+48</f>
        <v>128</v>
      </c>
      <c r="L62" t="s">
        <v>53</v>
      </c>
    </row>
    <row r="63" spans="1:12" x14ac:dyDescent="0.25">
      <c r="A63" t="s">
        <v>24</v>
      </c>
      <c r="B63" s="13">
        <v>45610</v>
      </c>
      <c r="C63" t="s">
        <v>45</v>
      </c>
      <c r="D63" s="15">
        <v>-6</v>
      </c>
      <c r="E63" t="s">
        <v>53</v>
      </c>
      <c r="F63">
        <v>3</v>
      </c>
      <c r="G63">
        <v>2</v>
      </c>
      <c r="H63">
        <v>8</v>
      </c>
      <c r="I63">
        <v>5</v>
      </c>
      <c r="J63">
        <f>42+56+48</f>
        <v>146</v>
      </c>
      <c r="K63">
        <f>15+46+58</f>
        <v>119</v>
      </c>
      <c r="L63" t="s">
        <v>10</v>
      </c>
    </row>
    <row r="64" spans="1:12" x14ac:dyDescent="0.25">
      <c r="A64" t="s">
        <v>24</v>
      </c>
      <c r="B64" s="13">
        <v>45610</v>
      </c>
      <c r="C64" t="s">
        <v>46</v>
      </c>
      <c r="D64" s="15">
        <v>-2</v>
      </c>
      <c r="E64" t="s">
        <v>53</v>
      </c>
      <c r="F64">
        <v>3</v>
      </c>
      <c r="G64">
        <v>2</v>
      </c>
      <c r="H64">
        <v>7</v>
      </c>
      <c r="I64">
        <v>5</v>
      </c>
      <c r="J64">
        <f>42+49+42</f>
        <v>133</v>
      </c>
      <c r="K64">
        <f>15+59+38</f>
        <v>112</v>
      </c>
      <c r="L64" t="s">
        <v>10</v>
      </c>
    </row>
    <row r="65" spans="1:12" x14ac:dyDescent="0.25">
      <c r="A65" t="s">
        <v>24</v>
      </c>
      <c r="B65" s="13">
        <v>45610</v>
      </c>
      <c r="C65" t="s">
        <v>47</v>
      </c>
      <c r="D65" s="15">
        <v>-6</v>
      </c>
      <c r="E65" t="s">
        <v>53</v>
      </c>
      <c r="F65">
        <v>3</v>
      </c>
      <c r="G65">
        <v>2</v>
      </c>
      <c r="H65">
        <v>7</v>
      </c>
      <c r="I65">
        <v>4</v>
      </c>
      <c r="J65">
        <f>31+56+42</f>
        <v>129</v>
      </c>
      <c r="K65">
        <f>42+46+38</f>
        <v>126</v>
      </c>
      <c r="L65" t="s">
        <v>10</v>
      </c>
    </row>
    <row r="66" spans="1:12" x14ac:dyDescent="0.25">
      <c r="A66" t="s">
        <v>24</v>
      </c>
      <c r="B66" s="13">
        <v>45610</v>
      </c>
      <c r="C66" t="s">
        <v>63</v>
      </c>
      <c r="D66" s="15">
        <v>-2</v>
      </c>
      <c r="E66" t="s">
        <v>53</v>
      </c>
      <c r="F66">
        <v>3</v>
      </c>
      <c r="G66">
        <v>0</v>
      </c>
      <c r="H66">
        <v>8</v>
      </c>
      <c r="I66">
        <v>2</v>
      </c>
      <c r="J66">
        <f>31+49+48</f>
        <v>128</v>
      </c>
      <c r="K66">
        <f>42+59+58</f>
        <v>159</v>
      </c>
      <c r="L66" t="s">
        <v>10</v>
      </c>
    </row>
    <row r="67" spans="1:12" x14ac:dyDescent="0.25">
      <c r="A67" t="s">
        <v>24</v>
      </c>
      <c r="B67" s="13">
        <v>45611</v>
      </c>
      <c r="C67" t="s">
        <v>184</v>
      </c>
      <c r="D67" s="15">
        <v>8</v>
      </c>
      <c r="E67" t="s">
        <v>12</v>
      </c>
      <c r="F67">
        <v>3</v>
      </c>
      <c r="G67">
        <v>2</v>
      </c>
      <c r="H67">
        <v>8</v>
      </c>
      <c r="I67">
        <v>5</v>
      </c>
      <c r="J67">
        <f>57+56+42</f>
        <v>155</v>
      </c>
      <c r="K67">
        <f>41+60+31</f>
        <v>132</v>
      </c>
      <c r="L67" t="s">
        <v>54</v>
      </c>
    </row>
    <row r="68" spans="1:12" x14ac:dyDescent="0.25">
      <c r="A68" t="s">
        <v>24</v>
      </c>
      <c r="B68" s="13">
        <v>45611</v>
      </c>
      <c r="C68" t="s">
        <v>132</v>
      </c>
      <c r="D68" s="15">
        <v>10</v>
      </c>
      <c r="E68" t="s">
        <v>12</v>
      </c>
      <c r="F68">
        <v>3</v>
      </c>
      <c r="G68">
        <v>3</v>
      </c>
      <c r="H68">
        <v>8</v>
      </c>
      <c r="I68">
        <v>6</v>
      </c>
      <c r="J68">
        <f>57+60+42</f>
        <v>159</v>
      </c>
      <c r="K68">
        <f>41+52+31</f>
        <v>124</v>
      </c>
      <c r="L68" t="s">
        <v>54</v>
      </c>
    </row>
    <row r="69" spans="1:12" x14ac:dyDescent="0.25">
      <c r="A69" t="s">
        <v>24</v>
      </c>
      <c r="B69" s="13">
        <v>45611</v>
      </c>
      <c r="C69" t="s">
        <v>152</v>
      </c>
      <c r="D69" s="15">
        <v>4</v>
      </c>
      <c r="E69" t="s">
        <v>12</v>
      </c>
      <c r="F69">
        <v>3</v>
      </c>
      <c r="G69">
        <v>1</v>
      </c>
      <c r="H69">
        <v>8</v>
      </c>
      <c r="I69">
        <v>4</v>
      </c>
      <c r="J69">
        <f>58+56+42</f>
        <v>156</v>
      </c>
      <c r="K69">
        <f>51+60+31</f>
        <v>142</v>
      </c>
      <c r="L69" t="s">
        <v>54</v>
      </c>
    </row>
    <row r="70" spans="1:12" x14ac:dyDescent="0.25">
      <c r="A70" t="s">
        <v>24</v>
      </c>
      <c r="B70" s="13">
        <v>45611</v>
      </c>
      <c r="C70" t="s">
        <v>168</v>
      </c>
      <c r="D70" s="15">
        <v>10</v>
      </c>
      <c r="E70" t="s">
        <v>12</v>
      </c>
      <c r="F70">
        <v>3</v>
      </c>
      <c r="G70">
        <v>2</v>
      </c>
      <c r="H70">
        <v>8</v>
      </c>
      <c r="I70">
        <v>5</v>
      </c>
      <c r="J70">
        <f>58+60+42</f>
        <v>160</v>
      </c>
      <c r="K70">
        <f>51+52+31</f>
        <v>134</v>
      </c>
      <c r="L70" t="s">
        <v>54</v>
      </c>
    </row>
    <row r="71" spans="1:12" x14ac:dyDescent="0.25">
      <c r="A71" t="s">
        <v>24</v>
      </c>
      <c r="B71" s="13">
        <v>45611</v>
      </c>
      <c r="C71" t="s">
        <v>49</v>
      </c>
      <c r="D71" s="15">
        <v>2</v>
      </c>
      <c r="E71" t="s">
        <v>54</v>
      </c>
      <c r="F71">
        <v>3</v>
      </c>
      <c r="G71">
        <v>1</v>
      </c>
      <c r="H71">
        <v>8</v>
      </c>
      <c r="I71">
        <v>3</v>
      </c>
      <c r="J71">
        <f>41+60+31</f>
        <v>132</v>
      </c>
      <c r="K71">
        <f>57+56+42</f>
        <v>155</v>
      </c>
      <c r="L71" t="s">
        <v>12</v>
      </c>
    </row>
    <row r="72" spans="1:12" x14ac:dyDescent="0.25">
      <c r="A72" t="s">
        <v>24</v>
      </c>
      <c r="B72" s="13">
        <v>45611</v>
      </c>
      <c r="C72" t="s">
        <v>62</v>
      </c>
      <c r="D72" s="15">
        <v>2</v>
      </c>
      <c r="E72" t="s">
        <v>54</v>
      </c>
      <c r="F72">
        <v>3</v>
      </c>
      <c r="G72">
        <v>0</v>
      </c>
      <c r="H72">
        <v>8</v>
      </c>
      <c r="I72">
        <v>2</v>
      </c>
      <c r="J72">
        <f>41+52+31</f>
        <v>124</v>
      </c>
      <c r="K72">
        <f>57+60+42</f>
        <v>159</v>
      </c>
      <c r="L72" t="s">
        <v>12</v>
      </c>
    </row>
    <row r="73" spans="1:12" x14ac:dyDescent="0.25">
      <c r="A73" t="s">
        <v>24</v>
      </c>
      <c r="B73" s="13">
        <v>45611</v>
      </c>
      <c r="C73" t="s">
        <v>156</v>
      </c>
      <c r="D73" s="15">
        <v>-4</v>
      </c>
      <c r="E73" t="s">
        <v>54</v>
      </c>
      <c r="F73">
        <v>3</v>
      </c>
      <c r="G73">
        <v>2</v>
      </c>
      <c r="H73">
        <v>8</v>
      </c>
      <c r="I73">
        <v>4</v>
      </c>
      <c r="J73">
        <f>51+60+31</f>
        <v>142</v>
      </c>
      <c r="K73">
        <f>58+56+42</f>
        <v>156</v>
      </c>
      <c r="L73" t="s">
        <v>12</v>
      </c>
    </row>
    <row r="74" spans="1:12" x14ac:dyDescent="0.25">
      <c r="A74" t="s">
        <v>24</v>
      </c>
      <c r="B74" s="13">
        <v>45611</v>
      </c>
      <c r="C74" t="s">
        <v>52</v>
      </c>
      <c r="D74" s="15">
        <v>8</v>
      </c>
      <c r="E74" t="s">
        <v>54</v>
      </c>
      <c r="F74">
        <v>3</v>
      </c>
      <c r="G74">
        <v>1</v>
      </c>
      <c r="H74">
        <v>8</v>
      </c>
      <c r="I74">
        <v>3</v>
      </c>
      <c r="J74">
        <f>51+52+31</f>
        <v>134</v>
      </c>
      <c r="K74">
        <f>58+60+42</f>
        <v>160</v>
      </c>
      <c r="L74" t="s">
        <v>12</v>
      </c>
    </row>
    <row r="75" spans="1:12" x14ac:dyDescent="0.25">
      <c r="A75" t="s">
        <v>24</v>
      </c>
      <c r="B75" s="13">
        <v>45616</v>
      </c>
      <c r="C75" t="s">
        <v>145</v>
      </c>
      <c r="D75" s="15">
        <v>0</v>
      </c>
      <c r="E75" t="s">
        <v>13</v>
      </c>
      <c r="F75">
        <v>3</v>
      </c>
      <c r="G75">
        <v>2</v>
      </c>
      <c r="H75">
        <v>7</v>
      </c>
      <c r="I75">
        <v>5</v>
      </c>
      <c r="J75">
        <f>42+59+42</f>
        <v>143</v>
      </c>
      <c r="K75">
        <f>33+62+23</f>
        <v>118</v>
      </c>
      <c r="L75" t="s">
        <v>54</v>
      </c>
    </row>
    <row r="76" spans="1:12" x14ac:dyDescent="0.25">
      <c r="A76" t="s">
        <v>24</v>
      </c>
      <c r="B76" s="13">
        <v>45616</v>
      </c>
      <c r="C76" t="s">
        <v>40</v>
      </c>
      <c r="D76" s="15">
        <v>8</v>
      </c>
      <c r="E76" t="s">
        <v>13</v>
      </c>
      <c r="F76">
        <v>3</v>
      </c>
      <c r="G76">
        <v>2</v>
      </c>
      <c r="H76">
        <v>6</v>
      </c>
      <c r="I76">
        <v>4</v>
      </c>
      <c r="J76">
        <f>42+42+36</f>
        <v>120</v>
      </c>
      <c r="K76">
        <f>33+35+42</f>
        <v>110</v>
      </c>
      <c r="L76" t="s">
        <v>54</v>
      </c>
    </row>
    <row r="77" spans="1:12" x14ac:dyDescent="0.25">
      <c r="A77" t="s">
        <v>24</v>
      </c>
      <c r="B77" s="13">
        <v>45616</v>
      </c>
      <c r="C77" t="s">
        <v>147</v>
      </c>
      <c r="D77" s="15">
        <v>6</v>
      </c>
      <c r="E77" t="s">
        <v>13</v>
      </c>
      <c r="F77">
        <v>3</v>
      </c>
      <c r="G77">
        <v>0</v>
      </c>
      <c r="H77">
        <v>8</v>
      </c>
      <c r="I77">
        <v>2</v>
      </c>
      <c r="J77">
        <f>55+59+36</f>
        <v>150</v>
      </c>
      <c r="K77">
        <f>57+62+42</f>
        <v>161</v>
      </c>
      <c r="L77" t="s">
        <v>54</v>
      </c>
    </row>
    <row r="78" spans="1:12" x14ac:dyDescent="0.25">
      <c r="A78" t="s">
        <v>24</v>
      </c>
      <c r="B78" s="13">
        <v>45616</v>
      </c>
      <c r="C78" t="s">
        <v>42</v>
      </c>
      <c r="D78" s="15">
        <v>8</v>
      </c>
      <c r="E78" t="s">
        <v>13</v>
      </c>
      <c r="F78">
        <v>3</v>
      </c>
      <c r="G78">
        <v>2</v>
      </c>
      <c r="H78">
        <v>7</v>
      </c>
      <c r="I78">
        <v>5</v>
      </c>
      <c r="J78">
        <f>55+42+42</f>
        <v>139</v>
      </c>
      <c r="K78">
        <f>57+35+23</f>
        <v>115</v>
      </c>
      <c r="L78" t="s">
        <v>54</v>
      </c>
    </row>
    <row r="79" spans="1:12" x14ac:dyDescent="0.25">
      <c r="A79" t="s">
        <v>24</v>
      </c>
      <c r="B79" s="13">
        <v>45616</v>
      </c>
      <c r="C79" t="s">
        <v>163</v>
      </c>
      <c r="D79" s="15">
        <v>0</v>
      </c>
      <c r="E79" t="s">
        <v>54</v>
      </c>
      <c r="F79">
        <v>3</v>
      </c>
      <c r="G79">
        <v>1</v>
      </c>
      <c r="H79">
        <v>7</v>
      </c>
      <c r="I79">
        <v>2</v>
      </c>
      <c r="J79">
        <f>33+62+23</f>
        <v>118</v>
      </c>
      <c r="K79">
        <f>42+59+42</f>
        <v>143</v>
      </c>
      <c r="L79" t="s">
        <v>13</v>
      </c>
    </row>
    <row r="80" spans="1:12" x14ac:dyDescent="0.25">
      <c r="A80" t="s">
        <v>24</v>
      </c>
      <c r="B80" s="13">
        <v>45616</v>
      </c>
      <c r="C80" t="s">
        <v>62</v>
      </c>
      <c r="D80" s="15">
        <v>2</v>
      </c>
      <c r="E80" t="s">
        <v>54</v>
      </c>
      <c r="F80">
        <v>3</v>
      </c>
      <c r="G80">
        <v>1</v>
      </c>
      <c r="H80">
        <v>6</v>
      </c>
      <c r="I80">
        <v>2</v>
      </c>
      <c r="J80">
        <f>33+35+42</f>
        <v>110</v>
      </c>
      <c r="K80">
        <f>42+42+36</f>
        <v>120</v>
      </c>
      <c r="L80" t="s">
        <v>13</v>
      </c>
    </row>
    <row r="81" spans="1:12" x14ac:dyDescent="0.25">
      <c r="A81" t="s">
        <v>24</v>
      </c>
      <c r="B81" s="13">
        <v>45616</v>
      </c>
      <c r="C81" t="s">
        <v>156</v>
      </c>
      <c r="D81" s="15">
        <v>-4</v>
      </c>
      <c r="E81" t="s">
        <v>54</v>
      </c>
      <c r="F81">
        <v>3</v>
      </c>
      <c r="G81">
        <v>3</v>
      </c>
      <c r="H81">
        <v>8</v>
      </c>
      <c r="I81">
        <v>6</v>
      </c>
      <c r="J81">
        <f>57+62+42</f>
        <v>161</v>
      </c>
      <c r="K81">
        <f>55+59+36</f>
        <v>150</v>
      </c>
      <c r="L81" t="s">
        <v>13</v>
      </c>
    </row>
    <row r="82" spans="1:12" x14ac:dyDescent="0.25">
      <c r="A82" t="s">
        <v>24</v>
      </c>
      <c r="B82" s="13">
        <v>45616</v>
      </c>
      <c r="C82" t="s">
        <v>52</v>
      </c>
      <c r="D82" s="15">
        <v>8</v>
      </c>
      <c r="E82" t="s">
        <v>54</v>
      </c>
      <c r="F82">
        <v>3</v>
      </c>
      <c r="G82">
        <v>1</v>
      </c>
      <c r="H82">
        <v>7</v>
      </c>
      <c r="I82">
        <v>2</v>
      </c>
      <c r="J82">
        <f>57+35+23</f>
        <v>115</v>
      </c>
      <c r="K82">
        <f>55+42+42</f>
        <v>139</v>
      </c>
      <c r="L82" t="s">
        <v>13</v>
      </c>
    </row>
    <row r="83" spans="1:12" x14ac:dyDescent="0.25">
      <c r="A83" t="s">
        <v>24</v>
      </c>
      <c r="B83" s="13">
        <v>45623</v>
      </c>
      <c r="C83" t="s">
        <v>145</v>
      </c>
      <c r="D83" s="15">
        <v>0</v>
      </c>
      <c r="E83" t="s">
        <v>13</v>
      </c>
      <c r="F83">
        <v>3</v>
      </c>
      <c r="G83">
        <v>0</v>
      </c>
      <c r="H83">
        <v>8</v>
      </c>
      <c r="I83">
        <v>2</v>
      </c>
      <c r="J83">
        <f>53+25+46</f>
        <v>124</v>
      </c>
      <c r="K83">
        <f>59+42+59</f>
        <v>160</v>
      </c>
      <c r="L83" t="s">
        <v>53</v>
      </c>
    </row>
    <row r="84" spans="1:12" x14ac:dyDescent="0.25">
      <c r="A84" t="s">
        <v>24</v>
      </c>
      <c r="B84" s="13">
        <v>45623</v>
      </c>
      <c r="C84" t="s">
        <v>39</v>
      </c>
      <c r="D84" s="15">
        <v>4</v>
      </c>
      <c r="E84" t="s">
        <v>13</v>
      </c>
      <c r="F84">
        <v>3</v>
      </c>
      <c r="G84">
        <v>0</v>
      </c>
      <c r="H84">
        <v>7</v>
      </c>
      <c r="I84">
        <v>1</v>
      </c>
      <c r="J84">
        <f>53+30+34</f>
        <v>117</v>
      </c>
      <c r="K84">
        <f>59+42+42</f>
        <v>143</v>
      </c>
      <c r="L84" t="s">
        <v>53</v>
      </c>
    </row>
    <row r="85" spans="1:12" x14ac:dyDescent="0.25">
      <c r="A85" t="s">
        <v>24</v>
      </c>
      <c r="B85" s="13">
        <v>45623</v>
      </c>
      <c r="C85" t="s">
        <v>41</v>
      </c>
      <c r="D85" s="15">
        <v>4</v>
      </c>
      <c r="E85" t="s">
        <v>13</v>
      </c>
      <c r="F85">
        <v>3</v>
      </c>
      <c r="G85">
        <v>0</v>
      </c>
      <c r="H85">
        <v>7</v>
      </c>
      <c r="I85">
        <v>1</v>
      </c>
      <c r="J85">
        <f>51+25+34</f>
        <v>110</v>
      </c>
      <c r="K85">
        <f>55+42+42</f>
        <v>139</v>
      </c>
      <c r="L85" t="s">
        <v>53</v>
      </c>
    </row>
    <row r="86" spans="1:12" x14ac:dyDescent="0.25">
      <c r="A86" t="s">
        <v>24</v>
      </c>
      <c r="B86" s="13">
        <v>45623</v>
      </c>
      <c r="C86" t="s">
        <v>146</v>
      </c>
      <c r="D86" s="15">
        <v>6</v>
      </c>
      <c r="E86" t="s">
        <v>13</v>
      </c>
      <c r="F86">
        <v>3</v>
      </c>
      <c r="G86">
        <v>0</v>
      </c>
      <c r="H86">
        <v>8</v>
      </c>
      <c r="I86">
        <v>2</v>
      </c>
      <c r="J86">
        <f>51+30+46</f>
        <v>127</v>
      </c>
      <c r="K86">
        <f>55+42+59</f>
        <v>156</v>
      </c>
      <c r="L86" t="s">
        <v>53</v>
      </c>
    </row>
    <row r="87" spans="1:12" x14ac:dyDescent="0.25">
      <c r="A87" t="s">
        <v>24</v>
      </c>
      <c r="B87" s="13">
        <v>45623</v>
      </c>
      <c r="C87" t="s">
        <v>191</v>
      </c>
      <c r="D87" s="15">
        <v>-4</v>
      </c>
      <c r="E87" t="s">
        <v>53</v>
      </c>
      <c r="F87">
        <v>3</v>
      </c>
      <c r="G87">
        <v>3</v>
      </c>
      <c r="H87">
        <v>8</v>
      </c>
      <c r="I87">
        <v>6</v>
      </c>
      <c r="J87">
        <f>59+42+59</f>
        <v>160</v>
      </c>
      <c r="K87">
        <f>53+25+46</f>
        <v>124</v>
      </c>
      <c r="L87" t="s">
        <v>13</v>
      </c>
    </row>
    <row r="88" spans="1:12" x14ac:dyDescent="0.25">
      <c r="A88" t="s">
        <v>24</v>
      </c>
      <c r="B88" s="13">
        <v>45623</v>
      </c>
      <c r="C88" t="s">
        <v>46</v>
      </c>
      <c r="D88" s="15">
        <v>-2</v>
      </c>
      <c r="E88" t="s">
        <v>53</v>
      </c>
      <c r="F88">
        <v>3</v>
      </c>
      <c r="G88">
        <v>3</v>
      </c>
      <c r="H88">
        <v>7</v>
      </c>
      <c r="I88">
        <v>6</v>
      </c>
      <c r="J88">
        <f>59+42+42</f>
        <v>143</v>
      </c>
      <c r="K88">
        <f>53+30+34</f>
        <v>117</v>
      </c>
      <c r="L88" t="s">
        <v>13</v>
      </c>
    </row>
    <row r="89" spans="1:12" x14ac:dyDescent="0.25">
      <c r="A89" t="s">
        <v>24</v>
      </c>
      <c r="B89" s="13">
        <v>45623</v>
      </c>
      <c r="C89" t="s">
        <v>47</v>
      </c>
      <c r="D89" s="15">
        <v>-6</v>
      </c>
      <c r="E89" t="s">
        <v>53</v>
      </c>
      <c r="F89">
        <v>3</v>
      </c>
      <c r="G89">
        <v>3</v>
      </c>
      <c r="H89">
        <v>7</v>
      </c>
      <c r="I89">
        <v>6</v>
      </c>
      <c r="J89">
        <f>55+42+42</f>
        <v>139</v>
      </c>
      <c r="K89">
        <f>51+25+34</f>
        <v>110</v>
      </c>
      <c r="L89" t="s">
        <v>13</v>
      </c>
    </row>
    <row r="90" spans="1:12" x14ac:dyDescent="0.25">
      <c r="A90" t="s">
        <v>24</v>
      </c>
      <c r="B90" s="13">
        <v>45623</v>
      </c>
      <c r="C90" t="s">
        <v>48</v>
      </c>
      <c r="D90" s="15">
        <v>-6</v>
      </c>
      <c r="E90" t="s">
        <v>53</v>
      </c>
      <c r="F90">
        <v>3</v>
      </c>
      <c r="G90">
        <v>3</v>
      </c>
      <c r="H90">
        <v>8</v>
      </c>
      <c r="I90">
        <v>6</v>
      </c>
      <c r="J90">
        <f>55+42+59</f>
        <v>156</v>
      </c>
      <c r="K90">
        <f>51+30+46</f>
        <v>127</v>
      </c>
      <c r="L90" t="s">
        <v>13</v>
      </c>
    </row>
    <row r="91" spans="1:12" x14ac:dyDescent="0.25">
      <c r="B91" s="13"/>
    </row>
    <row r="92" spans="1:12" x14ac:dyDescent="0.25">
      <c r="A92" s="14" t="s">
        <v>44</v>
      </c>
      <c r="B92" s="14"/>
      <c r="C92" s="14"/>
      <c r="D92" s="14"/>
      <c r="E92" s="14"/>
      <c r="F92" s="14">
        <f t="shared" ref="F92:K92" si="0">SUM(F3:F91)</f>
        <v>264</v>
      </c>
      <c r="G92" s="14">
        <f t="shared" si="0"/>
        <v>132</v>
      </c>
      <c r="H92" s="14">
        <f t="shared" si="0"/>
        <v>656</v>
      </c>
      <c r="I92" s="14">
        <f t="shared" si="0"/>
        <v>328</v>
      </c>
      <c r="J92" s="14">
        <f t="shared" si="0"/>
        <v>11940</v>
      </c>
      <c r="K92" s="14">
        <f t="shared" si="0"/>
        <v>11940</v>
      </c>
    </row>
    <row r="93" spans="1:12" x14ac:dyDescent="0.25">
      <c r="G93">
        <f>+F92/2-G92</f>
        <v>0</v>
      </c>
      <c r="I93">
        <f>+H92/2-I92</f>
        <v>0</v>
      </c>
      <c r="K93">
        <f>+J92-K92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6C06F-5CFE-454A-8CBE-F4C6E2334AA5}">
  <dimension ref="A1:L117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3" max="3" width="18.85546875" bestFit="1" customWidth="1"/>
    <col min="5" max="5" width="13.42578125" bestFit="1" customWidth="1"/>
    <col min="11" max="11" width="7" bestFit="1" customWidth="1"/>
    <col min="12" max="12" width="13.42578125" bestFit="1" customWidth="1"/>
  </cols>
  <sheetData>
    <row r="1" spans="1:12" x14ac:dyDescent="0.25">
      <c r="A1" s="17" t="s">
        <v>0</v>
      </c>
      <c r="B1" s="17" t="s">
        <v>1</v>
      </c>
      <c r="C1" s="17" t="s">
        <v>28</v>
      </c>
      <c r="D1" s="17" t="s">
        <v>35</v>
      </c>
      <c r="E1" s="17" t="s">
        <v>33</v>
      </c>
      <c r="F1" s="17" t="s">
        <v>27</v>
      </c>
      <c r="G1" s="17" t="s">
        <v>27</v>
      </c>
      <c r="H1" s="17" t="s">
        <v>30</v>
      </c>
      <c r="I1" s="17" t="s">
        <v>43</v>
      </c>
      <c r="J1" s="17" t="s">
        <v>8</v>
      </c>
      <c r="K1" s="17" t="s">
        <v>31</v>
      </c>
      <c r="L1" s="17" t="s">
        <v>32</v>
      </c>
    </row>
    <row r="2" spans="1:12" x14ac:dyDescent="0.25">
      <c r="A2" s="17"/>
      <c r="B2" s="17"/>
      <c r="C2" s="17"/>
      <c r="D2" s="17"/>
      <c r="E2" s="17"/>
      <c r="F2" s="17" t="s">
        <v>29</v>
      </c>
      <c r="G2" s="17" t="s">
        <v>3</v>
      </c>
      <c r="H2" s="17" t="s">
        <v>29</v>
      </c>
      <c r="I2" s="17" t="s">
        <v>3</v>
      </c>
      <c r="J2" s="17" t="s">
        <v>6</v>
      </c>
      <c r="K2" s="17" t="s">
        <v>7</v>
      </c>
      <c r="L2" s="17"/>
    </row>
    <row r="3" spans="1:12" x14ac:dyDescent="0.25">
      <c r="A3" t="s">
        <v>22</v>
      </c>
      <c r="B3" s="13">
        <v>45575</v>
      </c>
      <c r="C3" t="s">
        <v>57</v>
      </c>
      <c r="D3" s="15">
        <v>-2</v>
      </c>
      <c r="E3" t="s">
        <v>10</v>
      </c>
      <c r="F3">
        <v>3</v>
      </c>
      <c r="G3">
        <v>2</v>
      </c>
      <c r="H3">
        <v>7</v>
      </c>
      <c r="I3">
        <v>5</v>
      </c>
      <c r="J3">
        <f>50+42+42</f>
        <v>134</v>
      </c>
      <c r="K3">
        <f>62+24+37</f>
        <v>123</v>
      </c>
      <c r="L3" t="s">
        <v>14</v>
      </c>
    </row>
    <row r="4" spans="1:12" x14ac:dyDescent="0.25">
      <c r="A4" t="s">
        <v>22</v>
      </c>
      <c r="B4" s="13">
        <v>45575</v>
      </c>
      <c r="C4" t="s">
        <v>58</v>
      </c>
      <c r="D4" s="15">
        <v>2</v>
      </c>
      <c r="E4" t="s">
        <v>10</v>
      </c>
      <c r="F4">
        <v>3</v>
      </c>
      <c r="G4">
        <v>0</v>
      </c>
      <c r="H4">
        <v>8</v>
      </c>
      <c r="I4">
        <v>2</v>
      </c>
      <c r="J4">
        <f>50+56+35</f>
        <v>141</v>
      </c>
      <c r="K4">
        <f>62+60+42</f>
        <v>164</v>
      </c>
      <c r="L4" t="s">
        <v>14</v>
      </c>
    </row>
    <row r="5" spans="1:12" x14ac:dyDescent="0.25">
      <c r="A5" t="s">
        <v>22</v>
      </c>
      <c r="B5" s="13">
        <v>45575</v>
      </c>
      <c r="C5" t="s">
        <v>37</v>
      </c>
      <c r="D5" s="15">
        <v>4</v>
      </c>
      <c r="E5" t="s">
        <v>10</v>
      </c>
      <c r="F5">
        <v>3</v>
      </c>
      <c r="G5">
        <v>2</v>
      </c>
      <c r="H5">
        <v>6</v>
      </c>
      <c r="I5">
        <v>4</v>
      </c>
      <c r="J5">
        <f>42+42+35</f>
        <v>119</v>
      </c>
      <c r="K5">
        <f>37+24+42</f>
        <v>103</v>
      </c>
      <c r="L5" t="s">
        <v>14</v>
      </c>
    </row>
    <row r="6" spans="1:12" x14ac:dyDescent="0.25">
      <c r="A6" t="s">
        <v>22</v>
      </c>
      <c r="B6" s="13">
        <v>45575</v>
      </c>
      <c r="C6" t="s">
        <v>38</v>
      </c>
      <c r="D6" s="15">
        <v>6</v>
      </c>
      <c r="E6" t="s">
        <v>10</v>
      </c>
      <c r="F6">
        <v>3</v>
      </c>
      <c r="G6">
        <v>2</v>
      </c>
      <c r="H6">
        <v>7</v>
      </c>
      <c r="I6">
        <v>5</v>
      </c>
      <c r="J6">
        <f>42+56+42</f>
        <v>140</v>
      </c>
      <c r="K6">
        <f>37+60+37</f>
        <v>134</v>
      </c>
      <c r="L6" t="s">
        <v>14</v>
      </c>
    </row>
    <row r="7" spans="1:12" x14ac:dyDescent="0.25">
      <c r="A7" t="s">
        <v>22</v>
      </c>
      <c r="B7" s="13">
        <v>45575</v>
      </c>
      <c r="C7" t="s">
        <v>48</v>
      </c>
      <c r="D7" s="15">
        <v>-6</v>
      </c>
      <c r="E7" t="s">
        <v>14</v>
      </c>
      <c r="F7">
        <v>3</v>
      </c>
      <c r="G7">
        <v>1</v>
      </c>
      <c r="H7">
        <v>7</v>
      </c>
      <c r="I7">
        <v>2</v>
      </c>
      <c r="J7">
        <f>62+24+37</f>
        <v>123</v>
      </c>
      <c r="K7">
        <f>50+42+42</f>
        <v>134</v>
      </c>
      <c r="L7" t="s">
        <v>10</v>
      </c>
    </row>
    <row r="8" spans="1:12" x14ac:dyDescent="0.25">
      <c r="A8" t="s">
        <v>22</v>
      </c>
      <c r="B8" s="13">
        <v>45575</v>
      </c>
      <c r="C8" t="s">
        <v>51</v>
      </c>
      <c r="D8" s="15">
        <v>-6</v>
      </c>
      <c r="E8" t="s">
        <v>14</v>
      </c>
      <c r="F8">
        <v>3</v>
      </c>
      <c r="G8">
        <v>3</v>
      </c>
      <c r="H8">
        <v>8</v>
      </c>
      <c r="I8">
        <v>6</v>
      </c>
      <c r="J8">
        <f>62+60+42</f>
        <v>164</v>
      </c>
      <c r="K8">
        <f>50+56+35</f>
        <v>141</v>
      </c>
      <c r="L8" t="s">
        <v>10</v>
      </c>
    </row>
    <row r="9" spans="1:12" x14ac:dyDescent="0.25">
      <c r="A9" t="s">
        <v>22</v>
      </c>
      <c r="B9" s="13">
        <v>45575</v>
      </c>
      <c r="C9" t="s">
        <v>59</v>
      </c>
      <c r="D9" s="15">
        <v>4</v>
      </c>
      <c r="E9" t="s">
        <v>14</v>
      </c>
      <c r="F9">
        <v>3</v>
      </c>
      <c r="G9">
        <v>1</v>
      </c>
      <c r="H9">
        <v>6</v>
      </c>
      <c r="I9">
        <v>2</v>
      </c>
      <c r="J9">
        <f>37+24+42</f>
        <v>103</v>
      </c>
      <c r="K9">
        <f>42+42+35</f>
        <v>119</v>
      </c>
      <c r="L9" t="s">
        <v>10</v>
      </c>
    </row>
    <row r="10" spans="1:12" x14ac:dyDescent="0.25">
      <c r="A10" t="s">
        <v>22</v>
      </c>
      <c r="B10" s="13">
        <v>45575</v>
      </c>
      <c r="C10" t="s">
        <v>60</v>
      </c>
      <c r="D10" s="15">
        <v>4</v>
      </c>
      <c r="E10" t="s">
        <v>14</v>
      </c>
      <c r="F10">
        <v>3</v>
      </c>
      <c r="G10">
        <v>1</v>
      </c>
      <c r="H10">
        <v>7</v>
      </c>
      <c r="I10">
        <v>2</v>
      </c>
      <c r="J10">
        <f>37+60+37</f>
        <v>134</v>
      </c>
      <c r="K10">
        <f>42+56+42</f>
        <v>140</v>
      </c>
      <c r="L10" t="s">
        <v>10</v>
      </c>
    </row>
    <row r="11" spans="1:12" x14ac:dyDescent="0.25">
      <c r="A11" t="s">
        <v>22</v>
      </c>
      <c r="B11" s="13">
        <v>45583</v>
      </c>
      <c r="C11" t="s">
        <v>136</v>
      </c>
      <c r="D11" s="15">
        <v>-4</v>
      </c>
      <c r="E11" t="s">
        <v>15</v>
      </c>
      <c r="F11">
        <v>3</v>
      </c>
      <c r="G11">
        <v>2</v>
      </c>
      <c r="H11">
        <v>6</v>
      </c>
      <c r="I11">
        <v>4</v>
      </c>
      <c r="J11">
        <f>42+32+42</f>
        <v>116</v>
      </c>
      <c r="K11">
        <f>33+42+40</f>
        <v>115</v>
      </c>
      <c r="L11" t="s">
        <v>18</v>
      </c>
    </row>
    <row r="12" spans="1:12" x14ac:dyDescent="0.25">
      <c r="A12" t="s">
        <v>22</v>
      </c>
      <c r="B12" s="13">
        <v>45583</v>
      </c>
      <c r="C12" t="s">
        <v>137</v>
      </c>
      <c r="D12" s="15">
        <v>2</v>
      </c>
      <c r="E12" t="s">
        <v>15</v>
      </c>
      <c r="F12">
        <v>3</v>
      </c>
      <c r="G12">
        <v>1</v>
      </c>
      <c r="H12">
        <v>6</v>
      </c>
      <c r="I12">
        <v>2</v>
      </c>
      <c r="J12">
        <f>42+33+36</f>
        <v>111</v>
      </c>
      <c r="K12">
        <f>33+42+42</f>
        <v>117</v>
      </c>
      <c r="L12" t="s">
        <v>18</v>
      </c>
    </row>
    <row r="13" spans="1:12" x14ac:dyDescent="0.25">
      <c r="A13" t="s">
        <v>22</v>
      </c>
      <c r="B13" s="13">
        <v>45583</v>
      </c>
      <c r="C13" t="s">
        <v>138</v>
      </c>
      <c r="D13" s="15">
        <v>2</v>
      </c>
      <c r="E13" t="s">
        <v>15</v>
      </c>
      <c r="F13">
        <v>3</v>
      </c>
      <c r="G13">
        <v>0</v>
      </c>
      <c r="H13">
        <v>6</v>
      </c>
      <c r="I13">
        <v>0</v>
      </c>
      <c r="J13">
        <f>27+32+36</f>
        <v>95</v>
      </c>
      <c r="K13">
        <f>42+42+42</f>
        <v>126</v>
      </c>
      <c r="L13" t="s">
        <v>18</v>
      </c>
    </row>
    <row r="14" spans="1:12" x14ac:dyDescent="0.25">
      <c r="A14" t="s">
        <v>22</v>
      </c>
      <c r="B14" s="13">
        <v>45583</v>
      </c>
      <c r="C14" t="s">
        <v>139</v>
      </c>
      <c r="D14" s="15">
        <v>2</v>
      </c>
      <c r="E14" t="s">
        <v>15</v>
      </c>
      <c r="F14">
        <v>3</v>
      </c>
      <c r="G14">
        <v>1</v>
      </c>
      <c r="H14">
        <v>6</v>
      </c>
      <c r="I14">
        <v>2</v>
      </c>
      <c r="J14">
        <f>27+33+42</f>
        <v>102</v>
      </c>
      <c r="K14">
        <f>42+42+40</f>
        <v>124</v>
      </c>
      <c r="L14" t="s">
        <v>18</v>
      </c>
    </row>
    <row r="15" spans="1:12" x14ac:dyDescent="0.25">
      <c r="A15" t="s">
        <v>22</v>
      </c>
      <c r="B15" s="13">
        <v>45583</v>
      </c>
      <c r="C15" t="s">
        <v>140</v>
      </c>
      <c r="D15" s="15">
        <v>-8</v>
      </c>
      <c r="E15" t="s">
        <v>18</v>
      </c>
      <c r="F15">
        <v>3</v>
      </c>
      <c r="G15">
        <v>1</v>
      </c>
      <c r="H15">
        <v>6</v>
      </c>
      <c r="I15">
        <v>2</v>
      </c>
      <c r="J15">
        <f>33+42+40</f>
        <v>115</v>
      </c>
      <c r="K15">
        <f>42+32+42</f>
        <v>116</v>
      </c>
      <c r="L15" t="s">
        <v>15</v>
      </c>
    </row>
    <row r="16" spans="1:12" x14ac:dyDescent="0.25">
      <c r="A16" t="s">
        <v>22</v>
      </c>
      <c r="B16" s="13">
        <v>45583</v>
      </c>
      <c r="C16" t="s">
        <v>70</v>
      </c>
      <c r="D16" s="15">
        <v>-8</v>
      </c>
      <c r="E16" t="s">
        <v>18</v>
      </c>
      <c r="F16">
        <v>3</v>
      </c>
      <c r="G16">
        <v>2</v>
      </c>
      <c r="H16">
        <v>6</v>
      </c>
      <c r="I16">
        <v>4</v>
      </c>
      <c r="J16">
        <f>33+42+42</f>
        <v>117</v>
      </c>
      <c r="K16">
        <f>42+33+36</f>
        <v>111</v>
      </c>
      <c r="L16" t="s">
        <v>15</v>
      </c>
    </row>
    <row r="17" spans="1:12" x14ac:dyDescent="0.25">
      <c r="A17" t="s">
        <v>22</v>
      </c>
      <c r="B17" s="13">
        <v>45583</v>
      </c>
      <c r="C17" t="s">
        <v>141</v>
      </c>
      <c r="D17" s="15">
        <v>2</v>
      </c>
      <c r="E17" t="s">
        <v>18</v>
      </c>
      <c r="F17">
        <v>3</v>
      </c>
      <c r="G17">
        <v>3</v>
      </c>
      <c r="H17">
        <v>6</v>
      </c>
      <c r="I17">
        <v>6</v>
      </c>
      <c r="J17">
        <f>42+42+42</f>
        <v>126</v>
      </c>
      <c r="K17">
        <f>27+32+36</f>
        <v>95</v>
      </c>
      <c r="L17" t="s">
        <v>15</v>
      </c>
    </row>
    <row r="18" spans="1:12" x14ac:dyDescent="0.25">
      <c r="A18" t="s">
        <v>22</v>
      </c>
      <c r="B18" s="13">
        <v>45583</v>
      </c>
      <c r="C18" t="s">
        <v>142</v>
      </c>
      <c r="D18" s="15">
        <v>4</v>
      </c>
      <c r="E18" t="s">
        <v>18</v>
      </c>
      <c r="F18">
        <v>3</v>
      </c>
      <c r="G18">
        <v>2</v>
      </c>
      <c r="H18">
        <v>6</v>
      </c>
      <c r="I18">
        <v>4</v>
      </c>
      <c r="J18">
        <f>42+42+40</f>
        <v>124</v>
      </c>
      <c r="K18">
        <f>27+33+42</f>
        <v>102</v>
      </c>
      <c r="L18" t="s">
        <v>15</v>
      </c>
    </row>
    <row r="19" spans="1:12" x14ac:dyDescent="0.25">
      <c r="A19" t="s">
        <v>22</v>
      </c>
      <c r="B19" s="13">
        <v>45590</v>
      </c>
      <c r="C19" t="s">
        <v>134</v>
      </c>
      <c r="D19" s="15">
        <v>4</v>
      </c>
      <c r="E19" t="s">
        <v>12</v>
      </c>
      <c r="F19">
        <v>3</v>
      </c>
      <c r="G19">
        <v>1</v>
      </c>
      <c r="H19">
        <v>7</v>
      </c>
      <c r="I19">
        <v>2</v>
      </c>
      <c r="J19">
        <f>34+59+30</f>
        <v>123</v>
      </c>
      <c r="K19">
        <f>42+49+42</f>
        <v>133</v>
      </c>
      <c r="L19" t="s">
        <v>14</v>
      </c>
    </row>
    <row r="20" spans="1:12" x14ac:dyDescent="0.25">
      <c r="A20" t="s">
        <v>22</v>
      </c>
      <c r="B20" s="13">
        <v>45590</v>
      </c>
      <c r="C20" t="s">
        <v>152</v>
      </c>
      <c r="D20" s="15">
        <v>6</v>
      </c>
      <c r="E20" t="s">
        <v>12</v>
      </c>
      <c r="F20">
        <v>3</v>
      </c>
      <c r="G20">
        <v>0</v>
      </c>
      <c r="H20">
        <v>8</v>
      </c>
      <c r="I20">
        <v>2</v>
      </c>
      <c r="J20">
        <f>34+57+57</f>
        <v>148</v>
      </c>
      <c r="K20">
        <f>42+59+53</f>
        <v>154</v>
      </c>
      <c r="L20" t="s">
        <v>14</v>
      </c>
    </row>
    <row r="21" spans="1:12" x14ac:dyDescent="0.25">
      <c r="A21" t="s">
        <v>22</v>
      </c>
      <c r="B21" s="13">
        <v>45590</v>
      </c>
      <c r="C21" t="s">
        <v>153</v>
      </c>
      <c r="D21" s="15">
        <v>6</v>
      </c>
      <c r="E21" t="s">
        <v>12</v>
      </c>
      <c r="F21">
        <v>3</v>
      </c>
      <c r="G21">
        <v>1</v>
      </c>
      <c r="H21">
        <v>8</v>
      </c>
      <c r="I21">
        <v>3</v>
      </c>
      <c r="J21">
        <f>26+59+57</f>
        <v>142</v>
      </c>
      <c r="K21">
        <f>42+49+53</f>
        <v>144</v>
      </c>
      <c r="L21" t="s">
        <v>14</v>
      </c>
    </row>
    <row r="22" spans="1:12" x14ac:dyDescent="0.25">
      <c r="A22" t="s">
        <v>22</v>
      </c>
      <c r="B22" s="13">
        <v>45590</v>
      </c>
      <c r="C22" t="s">
        <v>135</v>
      </c>
      <c r="D22" s="15">
        <v>12</v>
      </c>
      <c r="E22" t="s">
        <v>12</v>
      </c>
      <c r="F22">
        <v>3</v>
      </c>
      <c r="G22">
        <v>1</v>
      </c>
      <c r="H22">
        <v>7</v>
      </c>
      <c r="I22">
        <v>1</v>
      </c>
      <c r="J22">
        <f>26+57+30</f>
        <v>113</v>
      </c>
      <c r="K22">
        <f>42+59+42</f>
        <v>143</v>
      </c>
      <c r="L22" t="s">
        <v>14</v>
      </c>
    </row>
    <row r="23" spans="1:12" x14ac:dyDescent="0.25">
      <c r="A23" t="s">
        <v>22</v>
      </c>
      <c r="B23" s="13">
        <v>45590</v>
      </c>
      <c r="C23" t="s">
        <v>48</v>
      </c>
      <c r="D23" s="15">
        <v>-6</v>
      </c>
      <c r="E23" t="s">
        <v>14</v>
      </c>
      <c r="F23">
        <v>3</v>
      </c>
      <c r="G23">
        <v>2</v>
      </c>
      <c r="H23">
        <v>7</v>
      </c>
      <c r="I23">
        <v>5</v>
      </c>
      <c r="J23">
        <f>42+49+42</f>
        <v>133</v>
      </c>
      <c r="K23">
        <f>34+59+30</f>
        <v>123</v>
      </c>
      <c r="L23" t="s">
        <v>12</v>
      </c>
    </row>
    <row r="24" spans="1:12" x14ac:dyDescent="0.25">
      <c r="A24" t="s">
        <v>22</v>
      </c>
      <c r="B24" s="13">
        <v>45590</v>
      </c>
      <c r="C24" t="s">
        <v>51</v>
      </c>
      <c r="D24" s="15">
        <v>-6</v>
      </c>
      <c r="E24" t="s">
        <v>14</v>
      </c>
      <c r="F24">
        <v>3</v>
      </c>
      <c r="G24">
        <v>2</v>
      </c>
      <c r="H24">
        <v>8</v>
      </c>
      <c r="I24">
        <v>6</v>
      </c>
      <c r="J24">
        <f>42+59+53</f>
        <v>154</v>
      </c>
      <c r="K24">
        <f>34+57+57</f>
        <v>148</v>
      </c>
      <c r="L24" t="s">
        <v>12</v>
      </c>
    </row>
    <row r="25" spans="1:12" x14ac:dyDescent="0.25">
      <c r="A25" t="s">
        <v>22</v>
      </c>
      <c r="B25" s="13">
        <v>45590</v>
      </c>
      <c r="C25" t="s">
        <v>154</v>
      </c>
      <c r="D25" s="15">
        <v>-2</v>
      </c>
      <c r="E25" t="s">
        <v>14</v>
      </c>
      <c r="F25">
        <v>3</v>
      </c>
      <c r="G25">
        <v>2</v>
      </c>
      <c r="H25">
        <v>8</v>
      </c>
      <c r="I25">
        <v>5</v>
      </c>
      <c r="J25">
        <f>42+49+53</f>
        <v>144</v>
      </c>
      <c r="K25">
        <f>26+59+57</f>
        <v>142</v>
      </c>
      <c r="L25" t="s">
        <v>12</v>
      </c>
    </row>
    <row r="26" spans="1:12" x14ac:dyDescent="0.25">
      <c r="A26" t="s">
        <v>22</v>
      </c>
      <c r="B26" s="13">
        <v>45590</v>
      </c>
      <c r="C26" t="s">
        <v>155</v>
      </c>
      <c r="D26" s="15">
        <v>10</v>
      </c>
      <c r="E26" t="s">
        <v>14</v>
      </c>
      <c r="F26">
        <v>3</v>
      </c>
      <c r="G26">
        <v>3</v>
      </c>
      <c r="H26">
        <v>7</v>
      </c>
      <c r="I26">
        <v>6</v>
      </c>
      <c r="J26">
        <f>42+59+42</f>
        <v>143</v>
      </c>
      <c r="K26">
        <f>26+57+30</f>
        <v>113</v>
      </c>
      <c r="L26" t="s">
        <v>12</v>
      </c>
    </row>
    <row r="27" spans="1:12" x14ac:dyDescent="0.25">
      <c r="A27" t="s">
        <v>22</v>
      </c>
      <c r="B27" s="13">
        <v>45590</v>
      </c>
      <c r="C27" t="s">
        <v>156</v>
      </c>
      <c r="D27" s="15">
        <v>-2</v>
      </c>
      <c r="E27" t="s">
        <v>15</v>
      </c>
      <c r="F27">
        <v>3</v>
      </c>
      <c r="G27">
        <v>3</v>
      </c>
      <c r="H27">
        <v>7</v>
      </c>
      <c r="I27">
        <v>6</v>
      </c>
      <c r="J27">
        <f>42+42+59</f>
        <v>143</v>
      </c>
      <c r="K27">
        <f>32+36+57</f>
        <v>125</v>
      </c>
      <c r="L27" t="s">
        <v>13</v>
      </c>
    </row>
    <row r="28" spans="1:12" x14ac:dyDescent="0.25">
      <c r="A28" t="s">
        <v>22</v>
      </c>
      <c r="B28" s="13">
        <v>45590</v>
      </c>
      <c r="C28" t="s">
        <v>137</v>
      </c>
      <c r="D28" s="15">
        <v>2</v>
      </c>
      <c r="E28" t="s">
        <v>15</v>
      </c>
      <c r="F28">
        <v>3</v>
      </c>
      <c r="G28">
        <v>2</v>
      </c>
      <c r="H28">
        <v>7</v>
      </c>
      <c r="I28">
        <v>4</v>
      </c>
      <c r="J28">
        <f>42+34+62</f>
        <v>138</v>
      </c>
      <c r="K28">
        <f>32+42+51</f>
        <v>125</v>
      </c>
      <c r="L28" t="s">
        <v>13</v>
      </c>
    </row>
    <row r="29" spans="1:12" x14ac:dyDescent="0.25">
      <c r="A29" t="s">
        <v>22</v>
      </c>
      <c r="B29" s="13">
        <v>45590</v>
      </c>
      <c r="C29" t="s">
        <v>139</v>
      </c>
      <c r="D29" s="15">
        <v>2</v>
      </c>
      <c r="E29" t="s">
        <v>15</v>
      </c>
      <c r="F29">
        <v>3</v>
      </c>
      <c r="G29">
        <v>2</v>
      </c>
      <c r="H29">
        <v>7</v>
      </c>
      <c r="I29">
        <v>4</v>
      </c>
      <c r="J29">
        <f>36+42+62</f>
        <v>140</v>
      </c>
      <c r="K29">
        <f>42+36+51</f>
        <v>129</v>
      </c>
      <c r="L29" t="s">
        <v>13</v>
      </c>
    </row>
    <row r="30" spans="1:12" x14ac:dyDescent="0.25">
      <c r="A30" t="s">
        <v>22</v>
      </c>
      <c r="B30" s="13">
        <v>45590</v>
      </c>
      <c r="C30" t="s">
        <v>138</v>
      </c>
      <c r="D30" s="15">
        <v>2</v>
      </c>
      <c r="E30" t="s">
        <v>15</v>
      </c>
      <c r="F30">
        <v>3</v>
      </c>
      <c r="G30">
        <v>1</v>
      </c>
      <c r="H30">
        <v>7</v>
      </c>
      <c r="I30">
        <v>2</v>
      </c>
      <c r="J30">
        <f>36+34+59</f>
        <v>129</v>
      </c>
      <c r="K30">
        <f>42+42+57</f>
        <v>141</v>
      </c>
      <c r="L30" t="s">
        <v>13</v>
      </c>
    </row>
    <row r="31" spans="1:12" x14ac:dyDescent="0.25">
      <c r="A31" t="s">
        <v>22</v>
      </c>
      <c r="B31" s="13">
        <v>45590</v>
      </c>
      <c r="C31" t="s">
        <v>146</v>
      </c>
      <c r="D31" s="15">
        <v>6</v>
      </c>
      <c r="E31" t="s">
        <v>13</v>
      </c>
      <c r="F31">
        <v>3</v>
      </c>
      <c r="G31">
        <v>0</v>
      </c>
      <c r="H31">
        <v>7</v>
      </c>
      <c r="I31">
        <v>1</v>
      </c>
      <c r="J31">
        <f>32+36+57</f>
        <v>125</v>
      </c>
      <c r="K31">
        <f>42+42+59</f>
        <v>143</v>
      </c>
      <c r="L31" t="s">
        <v>15</v>
      </c>
    </row>
    <row r="32" spans="1:12" x14ac:dyDescent="0.25">
      <c r="A32" t="s">
        <v>22</v>
      </c>
      <c r="B32" s="13">
        <v>45590</v>
      </c>
      <c r="C32" t="s">
        <v>41</v>
      </c>
      <c r="D32" s="15">
        <v>6</v>
      </c>
      <c r="E32" t="s">
        <v>13</v>
      </c>
      <c r="F32">
        <v>3</v>
      </c>
      <c r="G32">
        <v>1</v>
      </c>
      <c r="H32">
        <v>7</v>
      </c>
      <c r="I32">
        <v>3</v>
      </c>
      <c r="J32">
        <f>32+42+51</f>
        <v>125</v>
      </c>
      <c r="K32">
        <f>42+34+62</f>
        <v>138</v>
      </c>
      <c r="L32" t="s">
        <v>15</v>
      </c>
    </row>
    <row r="33" spans="1:12" x14ac:dyDescent="0.25">
      <c r="A33" t="s">
        <v>22</v>
      </c>
      <c r="B33" s="13">
        <v>45590</v>
      </c>
      <c r="C33" t="s">
        <v>157</v>
      </c>
      <c r="D33" s="15">
        <v>8</v>
      </c>
      <c r="E33" t="s">
        <v>13</v>
      </c>
      <c r="F33">
        <v>3</v>
      </c>
      <c r="G33">
        <v>1</v>
      </c>
      <c r="H33">
        <v>7</v>
      </c>
      <c r="I33">
        <v>3</v>
      </c>
      <c r="J33">
        <f>42+36+51</f>
        <v>129</v>
      </c>
      <c r="K33">
        <f>36+42+62</f>
        <v>140</v>
      </c>
      <c r="L33" t="s">
        <v>15</v>
      </c>
    </row>
    <row r="34" spans="1:12" x14ac:dyDescent="0.25">
      <c r="A34" t="s">
        <v>22</v>
      </c>
      <c r="B34" s="13">
        <v>45590</v>
      </c>
      <c r="C34" t="s">
        <v>158</v>
      </c>
      <c r="D34" s="15">
        <v>10</v>
      </c>
      <c r="E34" t="s">
        <v>13</v>
      </c>
      <c r="F34">
        <v>3</v>
      </c>
      <c r="G34">
        <v>2</v>
      </c>
      <c r="H34">
        <v>7</v>
      </c>
      <c r="I34">
        <v>5</v>
      </c>
      <c r="J34">
        <f>42+42+57</f>
        <v>141</v>
      </c>
      <c r="K34">
        <f>36+34+59</f>
        <v>129</v>
      </c>
      <c r="L34" t="s">
        <v>15</v>
      </c>
    </row>
    <row r="35" spans="1:12" x14ac:dyDescent="0.25">
      <c r="A35" t="s">
        <v>22</v>
      </c>
      <c r="B35" s="13">
        <v>45595</v>
      </c>
      <c r="C35" t="s">
        <v>41</v>
      </c>
      <c r="D35" s="15">
        <v>6</v>
      </c>
      <c r="E35" t="s">
        <v>13</v>
      </c>
      <c r="F35">
        <v>3</v>
      </c>
      <c r="G35">
        <v>1</v>
      </c>
      <c r="H35">
        <v>7</v>
      </c>
      <c r="I35">
        <v>3</v>
      </c>
      <c r="J35">
        <f>36+42+54</f>
        <v>132</v>
      </c>
      <c r="K35">
        <f>42+37+58</f>
        <v>137</v>
      </c>
      <c r="L35" t="s">
        <v>14</v>
      </c>
    </row>
    <row r="36" spans="1:12" x14ac:dyDescent="0.25">
      <c r="A36" t="s">
        <v>22</v>
      </c>
      <c r="B36" s="13">
        <v>45595</v>
      </c>
      <c r="C36" t="s">
        <v>42</v>
      </c>
      <c r="D36" s="15">
        <v>6</v>
      </c>
      <c r="E36" t="s">
        <v>13</v>
      </c>
      <c r="F36">
        <v>3</v>
      </c>
      <c r="G36">
        <v>2</v>
      </c>
      <c r="H36">
        <v>8</v>
      </c>
      <c r="I36">
        <v>4</v>
      </c>
      <c r="J36">
        <f>36+58+61</f>
        <v>155</v>
      </c>
      <c r="K36">
        <f>42+50+42</f>
        <v>134</v>
      </c>
      <c r="L36" t="s">
        <v>14</v>
      </c>
    </row>
    <row r="37" spans="1:12" x14ac:dyDescent="0.25">
      <c r="A37" t="s">
        <v>22</v>
      </c>
      <c r="B37" s="13">
        <v>45595</v>
      </c>
      <c r="C37" t="s">
        <v>147</v>
      </c>
      <c r="D37" s="15">
        <v>8</v>
      </c>
      <c r="E37" t="s">
        <v>13</v>
      </c>
      <c r="F37">
        <v>3</v>
      </c>
      <c r="G37">
        <v>3</v>
      </c>
      <c r="H37">
        <v>7</v>
      </c>
      <c r="I37">
        <v>6</v>
      </c>
      <c r="J37">
        <f>42+42+61</f>
        <v>145</v>
      </c>
      <c r="K37">
        <f>34+37+42</f>
        <v>113</v>
      </c>
      <c r="L37" t="s">
        <v>14</v>
      </c>
    </row>
    <row r="38" spans="1:12" x14ac:dyDescent="0.25">
      <c r="A38" t="s">
        <v>22</v>
      </c>
      <c r="B38" s="13">
        <v>45595</v>
      </c>
      <c r="C38" t="s">
        <v>158</v>
      </c>
      <c r="D38" s="15">
        <v>10</v>
      </c>
      <c r="E38" t="s">
        <v>13</v>
      </c>
      <c r="F38">
        <v>3</v>
      </c>
      <c r="G38">
        <v>2</v>
      </c>
      <c r="H38">
        <v>8</v>
      </c>
      <c r="I38">
        <v>5</v>
      </c>
      <c r="J38">
        <f>42+58+54</f>
        <v>154</v>
      </c>
      <c r="K38">
        <f>34+50+58</f>
        <v>142</v>
      </c>
      <c r="L38" t="s">
        <v>14</v>
      </c>
    </row>
    <row r="39" spans="1:12" x14ac:dyDescent="0.25">
      <c r="A39" t="s">
        <v>22</v>
      </c>
      <c r="B39" s="13">
        <v>45595</v>
      </c>
      <c r="C39" t="s">
        <v>48</v>
      </c>
      <c r="D39" s="15">
        <v>-6</v>
      </c>
      <c r="E39" t="s">
        <v>14</v>
      </c>
      <c r="F39">
        <v>3</v>
      </c>
      <c r="G39">
        <v>2</v>
      </c>
      <c r="H39">
        <v>7</v>
      </c>
      <c r="I39">
        <v>4</v>
      </c>
      <c r="J39">
        <f>42+37+58</f>
        <v>137</v>
      </c>
      <c r="K39">
        <f>36+42+54</f>
        <v>132</v>
      </c>
      <c r="L39" t="s">
        <v>13</v>
      </c>
    </row>
    <row r="40" spans="1:12" x14ac:dyDescent="0.25">
      <c r="A40" t="s">
        <v>22</v>
      </c>
      <c r="B40" s="13">
        <v>45595</v>
      </c>
      <c r="C40" t="s">
        <v>51</v>
      </c>
      <c r="D40" s="15">
        <v>-6</v>
      </c>
      <c r="E40" t="s">
        <v>14</v>
      </c>
      <c r="F40">
        <v>3</v>
      </c>
      <c r="G40">
        <v>1</v>
      </c>
      <c r="H40">
        <v>8</v>
      </c>
      <c r="I40">
        <v>4</v>
      </c>
      <c r="J40">
        <f>42+50+42</f>
        <v>134</v>
      </c>
      <c r="K40">
        <f>36+58+61</f>
        <v>155</v>
      </c>
      <c r="L40" t="s">
        <v>13</v>
      </c>
    </row>
    <row r="41" spans="1:12" x14ac:dyDescent="0.25">
      <c r="A41" t="s">
        <v>22</v>
      </c>
      <c r="B41" s="13">
        <v>45595</v>
      </c>
      <c r="C41" t="s">
        <v>59</v>
      </c>
      <c r="D41" s="15">
        <v>4</v>
      </c>
      <c r="E41" t="s">
        <v>14</v>
      </c>
      <c r="F41">
        <v>3</v>
      </c>
      <c r="G41">
        <v>0</v>
      </c>
      <c r="H41">
        <v>7</v>
      </c>
      <c r="I41">
        <v>1</v>
      </c>
      <c r="J41">
        <f>34+37+42</f>
        <v>113</v>
      </c>
      <c r="K41">
        <f>42+42+61</f>
        <v>145</v>
      </c>
      <c r="L41" t="s">
        <v>13</v>
      </c>
    </row>
    <row r="42" spans="1:12" x14ac:dyDescent="0.25">
      <c r="A42" t="s">
        <v>22</v>
      </c>
      <c r="B42" s="13">
        <v>45595</v>
      </c>
      <c r="C42" t="s">
        <v>155</v>
      </c>
      <c r="D42" s="15">
        <v>10</v>
      </c>
      <c r="E42" t="s">
        <v>14</v>
      </c>
      <c r="F42">
        <v>3</v>
      </c>
      <c r="G42">
        <v>1</v>
      </c>
      <c r="H42">
        <v>8</v>
      </c>
      <c r="I42">
        <v>3</v>
      </c>
      <c r="J42">
        <f>34+50+58</f>
        <v>142</v>
      </c>
      <c r="K42">
        <f>42+58+54</f>
        <v>154</v>
      </c>
      <c r="L42" t="s">
        <v>13</v>
      </c>
    </row>
    <row r="43" spans="1:12" x14ac:dyDescent="0.25">
      <c r="A43" t="s">
        <v>22</v>
      </c>
      <c r="B43" s="13">
        <v>45597</v>
      </c>
      <c r="C43" t="s">
        <v>156</v>
      </c>
      <c r="D43" s="15">
        <v>-2</v>
      </c>
      <c r="E43" t="s">
        <v>15</v>
      </c>
      <c r="F43">
        <v>3</v>
      </c>
      <c r="G43">
        <v>3</v>
      </c>
      <c r="H43">
        <v>7</v>
      </c>
      <c r="I43">
        <v>6</v>
      </c>
      <c r="J43">
        <f>42+42+59</f>
        <v>143</v>
      </c>
      <c r="K43">
        <f>34+31+59</f>
        <v>124</v>
      </c>
      <c r="L43" t="s">
        <v>12</v>
      </c>
    </row>
    <row r="44" spans="1:12" x14ac:dyDescent="0.25">
      <c r="A44" t="s">
        <v>22</v>
      </c>
      <c r="B44" s="13">
        <v>45597</v>
      </c>
      <c r="C44" t="s">
        <v>166</v>
      </c>
      <c r="D44" s="15">
        <v>-2</v>
      </c>
      <c r="E44" t="s">
        <v>15</v>
      </c>
      <c r="F44">
        <v>3</v>
      </c>
      <c r="G44">
        <v>3</v>
      </c>
      <c r="H44">
        <v>6</v>
      </c>
      <c r="I44">
        <v>6</v>
      </c>
      <c r="J44">
        <f>42+42+42</f>
        <v>126</v>
      </c>
      <c r="K44">
        <f>34+32+35</f>
        <v>101</v>
      </c>
      <c r="L44" t="s">
        <v>12</v>
      </c>
    </row>
    <row r="45" spans="1:12" x14ac:dyDescent="0.25">
      <c r="A45" t="s">
        <v>22</v>
      </c>
      <c r="B45" s="13">
        <v>45597</v>
      </c>
      <c r="C45" t="s">
        <v>167</v>
      </c>
      <c r="D45" s="15">
        <v>0</v>
      </c>
      <c r="E45" t="s">
        <v>15</v>
      </c>
      <c r="F45">
        <v>3</v>
      </c>
      <c r="G45">
        <v>3</v>
      </c>
      <c r="H45">
        <v>7</v>
      </c>
      <c r="I45">
        <v>6</v>
      </c>
      <c r="J45">
        <f>57+42+42</f>
        <v>141</v>
      </c>
      <c r="K45">
        <f>59+31+35</f>
        <v>125</v>
      </c>
      <c r="L45" t="s">
        <v>12</v>
      </c>
    </row>
    <row r="46" spans="1:12" x14ac:dyDescent="0.25">
      <c r="A46" t="s">
        <v>22</v>
      </c>
      <c r="B46" s="13">
        <v>45597</v>
      </c>
      <c r="C46" t="s">
        <v>138</v>
      </c>
      <c r="D46" s="15">
        <v>2</v>
      </c>
      <c r="E46" t="s">
        <v>15</v>
      </c>
      <c r="F46">
        <v>3</v>
      </c>
      <c r="G46">
        <v>3</v>
      </c>
      <c r="H46">
        <v>8</v>
      </c>
      <c r="I46">
        <v>6</v>
      </c>
      <c r="J46">
        <f>57+42+59</f>
        <v>158</v>
      </c>
      <c r="K46">
        <f>59+32+59</f>
        <v>150</v>
      </c>
      <c r="L46" t="s">
        <v>12</v>
      </c>
    </row>
    <row r="47" spans="1:12" x14ac:dyDescent="0.25">
      <c r="A47" t="s">
        <v>22</v>
      </c>
      <c r="B47" s="13">
        <v>45597</v>
      </c>
      <c r="C47" t="s">
        <v>134</v>
      </c>
      <c r="D47" s="15">
        <v>4</v>
      </c>
      <c r="E47" t="s">
        <v>12</v>
      </c>
      <c r="F47">
        <v>3</v>
      </c>
      <c r="G47">
        <v>0</v>
      </c>
      <c r="H47">
        <v>7</v>
      </c>
      <c r="I47">
        <v>1</v>
      </c>
      <c r="J47">
        <f>34+31+59</f>
        <v>124</v>
      </c>
      <c r="K47">
        <f>42+42+59</f>
        <v>143</v>
      </c>
      <c r="L47" t="s">
        <v>15</v>
      </c>
    </row>
    <row r="48" spans="1:12" x14ac:dyDescent="0.25">
      <c r="A48" t="s">
        <v>22</v>
      </c>
      <c r="B48" s="13">
        <v>45597</v>
      </c>
      <c r="C48" t="s">
        <v>168</v>
      </c>
      <c r="D48" s="15">
        <v>8</v>
      </c>
      <c r="E48" t="s">
        <v>12</v>
      </c>
      <c r="F48">
        <v>3</v>
      </c>
      <c r="G48">
        <v>0</v>
      </c>
      <c r="H48">
        <v>6</v>
      </c>
      <c r="I48">
        <v>0</v>
      </c>
      <c r="J48">
        <f>34+32+35</f>
        <v>101</v>
      </c>
      <c r="K48">
        <f>42+42+42</f>
        <v>126</v>
      </c>
      <c r="L48" t="s">
        <v>15</v>
      </c>
    </row>
    <row r="49" spans="1:12" x14ac:dyDescent="0.25">
      <c r="A49" t="s">
        <v>22</v>
      </c>
      <c r="B49" s="13">
        <v>45597</v>
      </c>
      <c r="C49" t="s">
        <v>135</v>
      </c>
      <c r="D49" s="15">
        <v>12</v>
      </c>
      <c r="E49" t="s">
        <v>12</v>
      </c>
      <c r="F49">
        <v>3</v>
      </c>
      <c r="G49">
        <v>0</v>
      </c>
      <c r="H49">
        <v>7</v>
      </c>
      <c r="I49">
        <v>1</v>
      </c>
      <c r="J49">
        <f>59+31+35</f>
        <v>125</v>
      </c>
      <c r="K49">
        <f>57+42+42</f>
        <v>141</v>
      </c>
      <c r="L49" t="s">
        <v>15</v>
      </c>
    </row>
    <row r="50" spans="1:12" x14ac:dyDescent="0.25">
      <c r="A50" t="s">
        <v>22</v>
      </c>
      <c r="B50" s="13">
        <v>45597</v>
      </c>
      <c r="C50" t="s">
        <v>169</v>
      </c>
      <c r="D50" s="15">
        <v>12</v>
      </c>
      <c r="E50" t="s">
        <v>12</v>
      </c>
      <c r="F50">
        <v>3</v>
      </c>
      <c r="G50">
        <v>0</v>
      </c>
      <c r="H50">
        <v>8</v>
      </c>
      <c r="I50">
        <v>2</v>
      </c>
      <c r="J50">
        <f>59+32+59</f>
        <v>150</v>
      </c>
      <c r="K50">
        <f>57+42+59</f>
        <v>158</v>
      </c>
      <c r="L50" t="s">
        <v>15</v>
      </c>
    </row>
    <row r="51" spans="1:12" x14ac:dyDescent="0.25">
      <c r="A51" t="s">
        <v>22</v>
      </c>
      <c r="B51" s="13">
        <v>45597</v>
      </c>
      <c r="C51" t="s">
        <v>51</v>
      </c>
      <c r="D51" s="15">
        <v>-6</v>
      </c>
      <c r="E51" t="s">
        <v>14</v>
      </c>
      <c r="F51">
        <v>3</v>
      </c>
      <c r="G51">
        <v>3</v>
      </c>
      <c r="H51">
        <v>6</v>
      </c>
      <c r="I51">
        <v>6</v>
      </c>
      <c r="J51">
        <f>42+42+42</f>
        <v>126</v>
      </c>
      <c r="K51">
        <f>34+38+28</f>
        <v>100</v>
      </c>
      <c r="L51" t="s">
        <v>16</v>
      </c>
    </row>
    <row r="52" spans="1:12" x14ac:dyDescent="0.25">
      <c r="A52" t="s">
        <v>22</v>
      </c>
      <c r="B52" s="13">
        <v>45597</v>
      </c>
      <c r="C52" t="s">
        <v>48</v>
      </c>
      <c r="D52" s="15">
        <v>-6</v>
      </c>
      <c r="E52" t="s">
        <v>14</v>
      </c>
      <c r="F52">
        <v>3</v>
      </c>
      <c r="G52">
        <v>3</v>
      </c>
      <c r="H52">
        <v>7</v>
      </c>
      <c r="I52">
        <v>6</v>
      </c>
      <c r="J52">
        <f>42+60+42</f>
        <v>144</v>
      </c>
      <c r="K52">
        <f>34+44+26</f>
        <v>104</v>
      </c>
      <c r="L52" t="s">
        <v>16</v>
      </c>
    </row>
    <row r="53" spans="1:12" x14ac:dyDescent="0.25">
      <c r="A53" t="s">
        <v>22</v>
      </c>
      <c r="B53" s="13">
        <v>45597</v>
      </c>
      <c r="C53" t="s">
        <v>154</v>
      </c>
      <c r="D53" s="15">
        <v>-2</v>
      </c>
      <c r="E53" t="s">
        <v>14</v>
      </c>
      <c r="F53">
        <v>3</v>
      </c>
      <c r="G53">
        <v>3</v>
      </c>
      <c r="H53">
        <v>7</v>
      </c>
      <c r="I53">
        <v>6</v>
      </c>
      <c r="J53">
        <f>60+42+42</f>
        <v>144</v>
      </c>
      <c r="K53">
        <f>48+38+26</f>
        <v>112</v>
      </c>
      <c r="L53" t="s">
        <v>16</v>
      </c>
    </row>
    <row r="54" spans="1:12" x14ac:dyDescent="0.25">
      <c r="A54" t="s">
        <v>22</v>
      </c>
      <c r="B54" s="13">
        <v>45597</v>
      </c>
      <c r="C54" t="s">
        <v>155</v>
      </c>
      <c r="D54" s="15">
        <v>10</v>
      </c>
      <c r="E54" t="s">
        <v>14</v>
      </c>
      <c r="F54">
        <v>3</v>
      </c>
      <c r="G54">
        <v>3</v>
      </c>
      <c r="H54">
        <v>8</v>
      </c>
      <c r="I54">
        <v>6</v>
      </c>
      <c r="J54">
        <f>60+60+42</f>
        <v>162</v>
      </c>
      <c r="K54">
        <f>48+44+28</f>
        <v>120</v>
      </c>
      <c r="L54" t="s">
        <v>16</v>
      </c>
    </row>
    <row r="55" spans="1:12" x14ac:dyDescent="0.25">
      <c r="A55" t="s">
        <v>22</v>
      </c>
      <c r="B55" s="13">
        <v>45597</v>
      </c>
      <c r="C55" t="s">
        <v>170</v>
      </c>
      <c r="D55" s="15">
        <v>-2</v>
      </c>
      <c r="E55" t="s">
        <v>16</v>
      </c>
      <c r="F55">
        <v>3</v>
      </c>
      <c r="G55">
        <v>0</v>
      </c>
      <c r="H55">
        <v>6</v>
      </c>
      <c r="I55">
        <v>0</v>
      </c>
      <c r="J55">
        <f>34+38+28</f>
        <v>100</v>
      </c>
      <c r="K55">
        <f>42+42+42</f>
        <v>126</v>
      </c>
      <c r="L55" t="s">
        <v>14</v>
      </c>
    </row>
    <row r="56" spans="1:12" x14ac:dyDescent="0.25">
      <c r="A56" t="s">
        <v>22</v>
      </c>
      <c r="B56" s="13">
        <v>45597</v>
      </c>
      <c r="C56" t="s">
        <v>171</v>
      </c>
      <c r="D56" s="15">
        <v>-2</v>
      </c>
      <c r="E56" t="s">
        <v>16</v>
      </c>
      <c r="F56">
        <v>3</v>
      </c>
      <c r="G56">
        <v>0</v>
      </c>
      <c r="H56">
        <v>7</v>
      </c>
      <c r="I56">
        <v>1</v>
      </c>
      <c r="J56">
        <f>34+44+26</f>
        <v>104</v>
      </c>
      <c r="K56">
        <f>42+60+42</f>
        <v>144</v>
      </c>
      <c r="L56" t="s">
        <v>14</v>
      </c>
    </row>
    <row r="57" spans="1:12" x14ac:dyDescent="0.25">
      <c r="A57" t="s">
        <v>22</v>
      </c>
      <c r="B57" s="13">
        <v>45597</v>
      </c>
      <c r="C57" t="s">
        <v>172</v>
      </c>
      <c r="D57" s="15">
        <v>2</v>
      </c>
      <c r="E57" t="s">
        <v>16</v>
      </c>
      <c r="F57">
        <v>3</v>
      </c>
      <c r="G57">
        <v>0</v>
      </c>
      <c r="H57">
        <v>7</v>
      </c>
      <c r="I57">
        <v>1</v>
      </c>
      <c r="J57">
        <f>48+38+26</f>
        <v>112</v>
      </c>
      <c r="K57">
        <f>60+42+42</f>
        <v>144</v>
      </c>
      <c r="L57" t="s">
        <v>14</v>
      </c>
    </row>
    <row r="58" spans="1:12" x14ac:dyDescent="0.25">
      <c r="A58" t="s">
        <v>22</v>
      </c>
      <c r="B58" s="13">
        <v>45597</v>
      </c>
      <c r="C58" t="s">
        <v>173</v>
      </c>
      <c r="D58" s="15">
        <v>12</v>
      </c>
      <c r="E58" t="s">
        <v>16</v>
      </c>
      <c r="F58">
        <v>3</v>
      </c>
      <c r="G58">
        <v>0</v>
      </c>
      <c r="H58">
        <v>8</v>
      </c>
      <c r="I58">
        <v>2</v>
      </c>
      <c r="J58">
        <f>48+44+28</f>
        <v>120</v>
      </c>
      <c r="K58">
        <f>60+60+42</f>
        <v>162</v>
      </c>
      <c r="L58" t="s">
        <v>14</v>
      </c>
    </row>
    <row r="59" spans="1:12" x14ac:dyDescent="0.25">
      <c r="A59" t="s">
        <v>22</v>
      </c>
      <c r="B59" s="13">
        <v>45604</v>
      </c>
      <c r="C59" t="s">
        <v>42</v>
      </c>
      <c r="D59" s="15">
        <v>6</v>
      </c>
      <c r="E59" t="s">
        <v>13</v>
      </c>
      <c r="F59">
        <v>3</v>
      </c>
      <c r="G59">
        <v>2</v>
      </c>
      <c r="H59">
        <v>7</v>
      </c>
      <c r="I59">
        <v>5</v>
      </c>
      <c r="J59">
        <f>42+57+42</f>
        <v>141</v>
      </c>
      <c r="K59">
        <f>28+53+25</f>
        <v>106</v>
      </c>
      <c r="L59" t="s">
        <v>12</v>
      </c>
    </row>
    <row r="60" spans="1:12" x14ac:dyDescent="0.25">
      <c r="A60" t="s">
        <v>22</v>
      </c>
      <c r="B60" s="13">
        <v>45604</v>
      </c>
      <c r="C60" t="s">
        <v>41</v>
      </c>
      <c r="D60" s="15">
        <v>6</v>
      </c>
      <c r="E60" t="s">
        <v>13</v>
      </c>
      <c r="F60">
        <v>3</v>
      </c>
      <c r="G60">
        <v>3</v>
      </c>
      <c r="H60">
        <v>8</v>
      </c>
      <c r="I60">
        <v>6</v>
      </c>
      <c r="J60">
        <f>42+61+60</f>
        <v>163</v>
      </c>
      <c r="K60">
        <f>28+55+61</f>
        <v>144</v>
      </c>
      <c r="L60" t="s">
        <v>12</v>
      </c>
    </row>
    <row r="61" spans="1:12" x14ac:dyDescent="0.25">
      <c r="A61" t="s">
        <v>22</v>
      </c>
      <c r="B61" s="13">
        <v>45604</v>
      </c>
      <c r="C61" t="s">
        <v>147</v>
      </c>
      <c r="D61" s="15">
        <v>8</v>
      </c>
      <c r="E61" t="s">
        <v>13</v>
      </c>
      <c r="F61">
        <v>3</v>
      </c>
      <c r="G61">
        <v>1</v>
      </c>
      <c r="H61">
        <v>8</v>
      </c>
      <c r="I61">
        <v>3</v>
      </c>
      <c r="J61">
        <f>33+57+60</f>
        <v>150</v>
      </c>
      <c r="K61">
        <f>42+53+61</f>
        <v>156</v>
      </c>
      <c r="L61" t="s">
        <v>12</v>
      </c>
    </row>
    <row r="62" spans="1:12" x14ac:dyDescent="0.25">
      <c r="A62" t="s">
        <v>22</v>
      </c>
      <c r="B62" s="13">
        <v>45604</v>
      </c>
      <c r="C62" t="s">
        <v>174</v>
      </c>
      <c r="D62" s="15">
        <v>12</v>
      </c>
      <c r="E62" t="s">
        <v>13</v>
      </c>
      <c r="F62">
        <v>3</v>
      </c>
      <c r="G62">
        <v>2</v>
      </c>
      <c r="H62">
        <v>7</v>
      </c>
      <c r="I62">
        <v>4</v>
      </c>
      <c r="J62">
        <f>33+61+42</f>
        <v>136</v>
      </c>
      <c r="K62">
        <f>42+55+25</f>
        <v>122</v>
      </c>
      <c r="L62" t="s">
        <v>12</v>
      </c>
    </row>
    <row r="63" spans="1:12" x14ac:dyDescent="0.25">
      <c r="A63" t="s">
        <v>22</v>
      </c>
      <c r="B63" s="13">
        <v>45604</v>
      </c>
      <c r="C63" t="s">
        <v>134</v>
      </c>
      <c r="D63" s="15">
        <v>4</v>
      </c>
      <c r="E63" t="s">
        <v>12</v>
      </c>
      <c r="F63">
        <v>3</v>
      </c>
      <c r="G63">
        <v>1</v>
      </c>
      <c r="H63">
        <v>7</v>
      </c>
      <c r="I63">
        <v>2</v>
      </c>
      <c r="J63">
        <f>28+53+25</f>
        <v>106</v>
      </c>
      <c r="K63">
        <f>42+57+42</f>
        <v>141</v>
      </c>
      <c r="L63" t="s">
        <v>13</v>
      </c>
    </row>
    <row r="64" spans="1:12" x14ac:dyDescent="0.25">
      <c r="A64" t="s">
        <v>22</v>
      </c>
      <c r="B64" s="13">
        <v>45604</v>
      </c>
      <c r="C64" t="s">
        <v>153</v>
      </c>
      <c r="D64" s="15">
        <v>6</v>
      </c>
      <c r="E64" t="s">
        <v>12</v>
      </c>
      <c r="F64">
        <v>3</v>
      </c>
      <c r="G64">
        <v>0</v>
      </c>
      <c r="H64">
        <v>8</v>
      </c>
      <c r="I64">
        <v>2</v>
      </c>
      <c r="J64">
        <f>28+55+61</f>
        <v>144</v>
      </c>
      <c r="K64">
        <f>42+61+60</f>
        <v>163</v>
      </c>
      <c r="L64" t="s">
        <v>13</v>
      </c>
    </row>
    <row r="65" spans="1:12" x14ac:dyDescent="0.25">
      <c r="A65" t="s">
        <v>22</v>
      </c>
      <c r="B65" s="13">
        <v>45604</v>
      </c>
      <c r="C65" t="s">
        <v>152</v>
      </c>
      <c r="D65" s="15">
        <v>6</v>
      </c>
      <c r="E65" t="s">
        <v>12</v>
      </c>
      <c r="F65">
        <v>3</v>
      </c>
      <c r="G65">
        <v>2</v>
      </c>
      <c r="H65">
        <v>8</v>
      </c>
      <c r="I65">
        <v>5</v>
      </c>
      <c r="J65">
        <f>42+53+61</f>
        <v>156</v>
      </c>
      <c r="K65">
        <f>33+57+60</f>
        <v>150</v>
      </c>
      <c r="L65" t="s">
        <v>13</v>
      </c>
    </row>
    <row r="66" spans="1:12" x14ac:dyDescent="0.25">
      <c r="A66" t="s">
        <v>22</v>
      </c>
      <c r="B66" s="13">
        <v>45604</v>
      </c>
      <c r="C66" t="s">
        <v>169</v>
      </c>
      <c r="D66" s="15">
        <v>12</v>
      </c>
      <c r="E66" t="s">
        <v>12</v>
      </c>
      <c r="F66">
        <v>3</v>
      </c>
      <c r="G66">
        <v>1</v>
      </c>
      <c r="H66">
        <v>7</v>
      </c>
      <c r="I66">
        <v>3</v>
      </c>
      <c r="J66">
        <f>42+55+25</f>
        <v>122</v>
      </c>
      <c r="K66">
        <f>33+61+42</f>
        <v>136</v>
      </c>
      <c r="L66" t="s">
        <v>13</v>
      </c>
    </row>
    <row r="67" spans="1:12" x14ac:dyDescent="0.25">
      <c r="A67" t="s">
        <v>22</v>
      </c>
      <c r="B67" s="13">
        <v>45618</v>
      </c>
      <c r="C67" t="s">
        <v>152</v>
      </c>
      <c r="D67" s="15">
        <v>6</v>
      </c>
      <c r="E67" t="s">
        <v>12</v>
      </c>
      <c r="F67">
        <v>3</v>
      </c>
      <c r="G67">
        <v>1</v>
      </c>
      <c r="H67">
        <v>9</v>
      </c>
      <c r="I67">
        <v>4</v>
      </c>
      <c r="J67">
        <f>58+53+56</f>
        <v>167</v>
      </c>
      <c r="K67">
        <f>60+57+55</f>
        <v>172</v>
      </c>
      <c r="L67" t="s">
        <v>18</v>
      </c>
    </row>
    <row r="68" spans="1:12" x14ac:dyDescent="0.25">
      <c r="A68" t="s">
        <v>22</v>
      </c>
      <c r="B68" s="13">
        <v>45618</v>
      </c>
      <c r="C68" t="s">
        <v>169</v>
      </c>
      <c r="D68" s="15">
        <v>12</v>
      </c>
      <c r="E68" t="s">
        <v>12</v>
      </c>
      <c r="F68">
        <v>3</v>
      </c>
      <c r="G68">
        <v>1</v>
      </c>
      <c r="H68">
        <v>7</v>
      </c>
      <c r="I68">
        <v>3</v>
      </c>
      <c r="J68">
        <f>58+42+36</f>
        <v>136</v>
      </c>
      <c r="K68">
        <f>60+40+42</f>
        <v>142</v>
      </c>
      <c r="L68" t="s">
        <v>18</v>
      </c>
    </row>
    <row r="69" spans="1:12" x14ac:dyDescent="0.25">
      <c r="A69" t="s">
        <v>22</v>
      </c>
      <c r="B69" s="13">
        <v>45618</v>
      </c>
      <c r="C69" t="s">
        <v>168</v>
      </c>
      <c r="D69" s="15">
        <v>8</v>
      </c>
      <c r="E69" t="s">
        <v>12</v>
      </c>
      <c r="F69">
        <v>3</v>
      </c>
      <c r="G69">
        <v>0</v>
      </c>
      <c r="H69">
        <v>7</v>
      </c>
      <c r="I69">
        <v>1</v>
      </c>
      <c r="J69">
        <f>30+53+36</f>
        <v>119</v>
      </c>
      <c r="K69">
        <f>42+57+42</f>
        <v>141</v>
      </c>
      <c r="L69" t="s">
        <v>18</v>
      </c>
    </row>
    <row r="70" spans="1:12" x14ac:dyDescent="0.25">
      <c r="A70" t="s">
        <v>22</v>
      </c>
      <c r="B70" s="13">
        <v>45618</v>
      </c>
      <c r="C70" t="s">
        <v>135</v>
      </c>
      <c r="D70" s="15">
        <v>12</v>
      </c>
      <c r="E70" t="s">
        <v>12</v>
      </c>
      <c r="F70">
        <v>3</v>
      </c>
      <c r="G70">
        <v>2</v>
      </c>
      <c r="H70">
        <v>7</v>
      </c>
      <c r="I70">
        <v>4</v>
      </c>
      <c r="J70">
        <f>30+42+56</f>
        <v>128</v>
      </c>
      <c r="K70">
        <f>42+40+55</f>
        <v>137</v>
      </c>
      <c r="L70" t="s">
        <v>18</v>
      </c>
    </row>
    <row r="71" spans="1:12" x14ac:dyDescent="0.25">
      <c r="A71" t="s">
        <v>22</v>
      </c>
      <c r="B71" s="13">
        <v>45618</v>
      </c>
      <c r="C71" t="s">
        <v>176</v>
      </c>
      <c r="D71" s="15">
        <v>-6</v>
      </c>
      <c r="E71" t="s">
        <v>18</v>
      </c>
      <c r="F71">
        <v>3</v>
      </c>
      <c r="G71">
        <v>2</v>
      </c>
      <c r="H71">
        <v>9</v>
      </c>
      <c r="I71">
        <v>5</v>
      </c>
      <c r="J71">
        <f>60+57+55</f>
        <v>172</v>
      </c>
      <c r="K71">
        <f>58+53+56</f>
        <v>167</v>
      </c>
      <c r="L71" t="s">
        <v>12</v>
      </c>
    </row>
    <row r="72" spans="1:12" x14ac:dyDescent="0.25">
      <c r="A72" t="s">
        <v>22</v>
      </c>
      <c r="B72" s="13">
        <v>45618</v>
      </c>
      <c r="C72" t="s">
        <v>185</v>
      </c>
      <c r="D72" s="15">
        <v>4</v>
      </c>
      <c r="E72" t="s">
        <v>18</v>
      </c>
      <c r="F72">
        <v>3</v>
      </c>
      <c r="G72">
        <v>2</v>
      </c>
      <c r="H72">
        <v>7</v>
      </c>
      <c r="I72">
        <v>4</v>
      </c>
      <c r="J72">
        <f>60+40+42</f>
        <v>142</v>
      </c>
      <c r="K72">
        <f>58+42+36</f>
        <v>136</v>
      </c>
      <c r="L72" t="s">
        <v>12</v>
      </c>
    </row>
    <row r="73" spans="1:12" x14ac:dyDescent="0.25">
      <c r="A73" t="s">
        <v>22</v>
      </c>
      <c r="B73" s="13">
        <v>45618</v>
      </c>
      <c r="C73" t="s">
        <v>186</v>
      </c>
      <c r="D73" s="15">
        <v>0</v>
      </c>
      <c r="E73" t="s">
        <v>18</v>
      </c>
      <c r="F73">
        <v>3</v>
      </c>
      <c r="G73">
        <v>3</v>
      </c>
      <c r="H73">
        <v>7</v>
      </c>
      <c r="I73">
        <v>6</v>
      </c>
      <c r="J73">
        <f>42+57+42</f>
        <v>141</v>
      </c>
      <c r="K73">
        <f>30+53+36</f>
        <v>119</v>
      </c>
      <c r="L73" t="s">
        <v>12</v>
      </c>
    </row>
    <row r="74" spans="1:12" x14ac:dyDescent="0.25">
      <c r="A74" t="s">
        <v>22</v>
      </c>
      <c r="B74" s="13">
        <v>45618</v>
      </c>
      <c r="C74" t="s">
        <v>142</v>
      </c>
      <c r="D74" s="15">
        <v>4</v>
      </c>
      <c r="E74" t="s">
        <v>18</v>
      </c>
      <c r="F74">
        <v>3</v>
      </c>
      <c r="G74">
        <v>1</v>
      </c>
      <c r="H74">
        <v>7</v>
      </c>
      <c r="I74">
        <v>3</v>
      </c>
      <c r="J74">
        <f>42+40+55</f>
        <v>137</v>
      </c>
      <c r="K74">
        <f>30+42+56</f>
        <v>128</v>
      </c>
      <c r="L74" t="s">
        <v>12</v>
      </c>
    </row>
    <row r="75" spans="1:12" x14ac:dyDescent="0.25">
      <c r="A75" t="s">
        <v>22</v>
      </c>
      <c r="B75" s="13">
        <v>45624</v>
      </c>
      <c r="C75" t="s">
        <v>170</v>
      </c>
      <c r="D75" s="15">
        <v>-2</v>
      </c>
      <c r="E75" t="s">
        <v>16</v>
      </c>
      <c r="F75">
        <v>3</v>
      </c>
      <c r="G75">
        <v>2</v>
      </c>
      <c r="H75">
        <v>7</v>
      </c>
      <c r="I75">
        <v>4</v>
      </c>
      <c r="J75">
        <f>42+60+33</f>
        <v>135</v>
      </c>
      <c r="K75">
        <f>29+59+42</f>
        <v>130</v>
      </c>
      <c r="L75" t="s">
        <v>10</v>
      </c>
    </row>
    <row r="76" spans="1:12" x14ac:dyDescent="0.25">
      <c r="A76" t="s">
        <v>22</v>
      </c>
      <c r="B76" s="13">
        <v>45624</v>
      </c>
      <c r="C76" t="s">
        <v>192</v>
      </c>
      <c r="D76" s="15">
        <v>-4</v>
      </c>
      <c r="E76" t="s">
        <v>16</v>
      </c>
      <c r="F76">
        <v>3</v>
      </c>
      <c r="G76">
        <v>2</v>
      </c>
      <c r="H76">
        <v>6</v>
      </c>
      <c r="I76">
        <v>4</v>
      </c>
      <c r="J76">
        <f>42+36+42</f>
        <v>120</v>
      </c>
      <c r="K76">
        <f>29+42+33</f>
        <v>104</v>
      </c>
      <c r="L76" t="s">
        <v>10</v>
      </c>
    </row>
    <row r="77" spans="1:12" x14ac:dyDescent="0.25">
      <c r="A77" t="s">
        <v>22</v>
      </c>
      <c r="B77" s="13">
        <v>45624</v>
      </c>
      <c r="C77" t="s">
        <v>171</v>
      </c>
      <c r="D77" s="15">
        <v>-2</v>
      </c>
      <c r="E77" t="s">
        <v>16</v>
      </c>
      <c r="F77">
        <v>3</v>
      </c>
      <c r="G77">
        <v>2</v>
      </c>
      <c r="H77">
        <v>7</v>
      </c>
      <c r="I77">
        <v>4</v>
      </c>
      <c r="J77">
        <f>30+60+42</f>
        <v>132</v>
      </c>
      <c r="K77">
        <f>42+59+33</f>
        <v>134</v>
      </c>
      <c r="L77" t="s">
        <v>10</v>
      </c>
    </row>
    <row r="78" spans="1:12" x14ac:dyDescent="0.25">
      <c r="A78" t="s">
        <v>22</v>
      </c>
      <c r="B78" s="13">
        <v>45624</v>
      </c>
      <c r="C78" t="s">
        <v>173</v>
      </c>
      <c r="D78" s="15">
        <v>12</v>
      </c>
      <c r="E78" t="s">
        <v>16</v>
      </c>
      <c r="F78">
        <v>3</v>
      </c>
      <c r="G78">
        <v>0</v>
      </c>
      <c r="H78">
        <v>6</v>
      </c>
      <c r="I78">
        <v>0</v>
      </c>
      <c r="J78">
        <f>30+36+33</f>
        <v>99</v>
      </c>
      <c r="K78">
        <f>42+42+42</f>
        <v>126</v>
      </c>
      <c r="L78" t="s">
        <v>10</v>
      </c>
    </row>
    <row r="79" spans="1:12" x14ac:dyDescent="0.25">
      <c r="A79" t="s">
        <v>22</v>
      </c>
      <c r="B79" s="13">
        <v>45624</v>
      </c>
      <c r="C79" t="s">
        <v>57</v>
      </c>
      <c r="D79" s="15">
        <v>-2</v>
      </c>
      <c r="E79" t="s">
        <v>10</v>
      </c>
      <c r="F79">
        <v>3</v>
      </c>
      <c r="G79">
        <v>1</v>
      </c>
      <c r="H79">
        <v>7</v>
      </c>
      <c r="I79">
        <v>3</v>
      </c>
      <c r="J79">
        <f>29+59+42</f>
        <v>130</v>
      </c>
      <c r="K79">
        <f>42+60+33</f>
        <v>135</v>
      </c>
      <c r="L79" t="s">
        <v>16</v>
      </c>
    </row>
    <row r="80" spans="1:12" x14ac:dyDescent="0.25">
      <c r="A80" t="s">
        <v>22</v>
      </c>
      <c r="B80" s="13">
        <v>45624</v>
      </c>
      <c r="C80" t="s">
        <v>58</v>
      </c>
      <c r="D80" s="15">
        <v>2</v>
      </c>
      <c r="E80" t="s">
        <v>10</v>
      </c>
      <c r="F80">
        <v>3</v>
      </c>
      <c r="G80">
        <v>1</v>
      </c>
      <c r="H80">
        <v>6</v>
      </c>
      <c r="I80">
        <v>2</v>
      </c>
      <c r="J80">
        <f>29+42+33</f>
        <v>104</v>
      </c>
      <c r="K80">
        <f>42+36+42</f>
        <v>120</v>
      </c>
      <c r="L80" t="s">
        <v>16</v>
      </c>
    </row>
    <row r="81" spans="1:12" x14ac:dyDescent="0.25">
      <c r="A81" t="s">
        <v>22</v>
      </c>
      <c r="B81" s="13">
        <v>45624</v>
      </c>
      <c r="C81" t="s">
        <v>193</v>
      </c>
      <c r="D81" s="15">
        <v>4</v>
      </c>
      <c r="E81" t="s">
        <v>10</v>
      </c>
      <c r="F81">
        <v>3</v>
      </c>
      <c r="G81">
        <v>1</v>
      </c>
      <c r="H81">
        <v>7</v>
      </c>
      <c r="I81">
        <v>3</v>
      </c>
      <c r="J81">
        <f>42+59+33</f>
        <v>134</v>
      </c>
      <c r="K81">
        <f>30+60+42</f>
        <v>132</v>
      </c>
      <c r="L81" t="s">
        <v>16</v>
      </c>
    </row>
    <row r="82" spans="1:12" x14ac:dyDescent="0.25">
      <c r="A82" t="s">
        <v>22</v>
      </c>
      <c r="B82" s="13">
        <v>45624</v>
      </c>
      <c r="C82" t="s">
        <v>37</v>
      </c>
      <c r="D82" s="15">
        <v>4</v>
      </c>
      <c r="E82" t="s">
        <v>10</v>
      </c>
      <c r="F82">
        <v>3</v>
      </c>
      <c r="G82">
        <v>3</v>
      </c>
      <c r="H82">
        <v>6</v>
      </c>
      <c r="I82">
        <v>6</v>
      </c>
      <c r="J82">
        <f>42+42+42</f>
        <v>126</v>
      </c>
      <c r="K82">
        <f>30+36+33</f>
        <v>99</v>
      </c>
      <c r="L82" t="s">
        <v>16</v>
      </c>
    </row>
    <row r="83" spans="1:12" x14ac:dyDescent="0.25">
      <c r="A83" t="s">
        <v>22</v>
      </c>
      <c r="B83" s="13">
        <v>45625</v>
      </c>
      <c r="C83" t="s">
        <v>48</v>
      </c>
      <c r="D83" s="15">
        <v>-6</v>
      </c>
      <c r="E83" t="s">
        <v>14</v>
      </c>
      <c r="F83">
        <v>3</v>
      </c>
      <c r="G83">
        <v>3</v>
      </c>
      <c r="H83">
        <v>7</v>
      </c>
      <c r="I83">
        <v>6</v>
      </c>
      <c r="J83">
        <f>42+62+42</f>
        <v>146</v>
      </c>
      <c r="K83">
        <f>31+57+37</f>
        <v>125</v>
      </c>
      <c r="L83" t="s">
        <v>12</v>
      </c>
    </row>
    <row r="84" spans="1:12" x14ac:dyDescent="0.25">
      <c r="A84" t="s">
        <v>22</v>
      </c>
      <c r="B84" s="13">
        <v>45625</v>
      </c>
      <c r="C84" t="s">
        <v>194</v>
      </c>
      <c r="D84" s="15">
        <v>-4</v>
      </c>
      <c r="E84" t="s">
        <v>14</v>
      </c>
      <c r="F84">
        <v>3</v>
      </c>
      <c r="G84">
        <v>3</v>
      </c>
      <c r="H84">
        <v>6</v>
      </c>
      <c r="I84">
        <v>6</v>
      </c>
      <c r="J84">
        <f>42+42+42</f>
        <v>126</v>
      </c>
      <c r="K84">
        <f>31+37+36</f>
        <v>104</v>
      </c>
      <c r="L84" t="s">
        <v>12</v>
      </c>
    </row>
    <row r="85" spans="1:12" x14ac:dyDescent="0.25">
      <c r="A85" t="s">
        <v>22</v>
      </c>
      <c r="B85" s="13">
        <v>45625</v>
      </c>
      <c r="C85" t="s">
        <v>195</v>
      </c>
      <c r="D85" s="15">
        <v>4</v>
      </c>
      <c r="E85" t="s">
        <v>14</v>
      </c>
      <c r="F85">
        <v>3</v>
      </c>
      <c r="G85">
        <v>2</v>
      </c>
      <c r="H85">
        <v>7</v>
      </c>
      <c r="I85">
        <v>4</v>
      </c>
      <c r="J85">
        <f>29+62+42</f>
        <v>133</v>
      </c>
      <c r="K85">
        <f>42+57+36</f>
        <v>135</v>
      </c>
      <c r="L85" t="s">
        <v>12</v>
      </c>
    </row>
    <row r="86" spans="1:12" x14ac:dyDescent="0.25">
      <c r="A86" t="s">
        <v>22</v>
      </c>
      <c r="B86" s="13">
        <v>45625</v>
      </c>
      <c r="C86" t="s">
        <v>155</v>
      </c>
      <c r="D86" s="15">
        <v>10</v>
      </c>
      <c r="E86" t="s">
        <v>14</v>
      </c>
      <c r="F86">
        <v>3</v>
      </c>
      <c r="G86">
        <v>2</v>
      </c>
      <c r="H86">
        <v>6</v>
      </c>
      <c r="I86">
        <v>4</v>
      </c>
      <c r="J86">
        <f>29+42+42</f>
        <v>113</v>
      </c>
      <c r="K86">
        <f>42+37+37</f>
        <v>116</v>
      </c>
      <c r="L86" t="s">
        <v>12</v>
      </c>
    </row>
    <row r="87" spans="1:12" x14ac:dyDescent="0.25">
      <c r="A87" t="s">
        <v>22</v>
      </c>
      <c r="B87" s="13">
        <v>45625</v>
      </c>
      <c r="C87" t="s">
        <v>168</v>
      </c>
      <c r="D87" s="15">
        <v>8</v>
      </c>
      <c r="E87" t="s">
        <v>12</v>
      </c>
      <c r="F87">
        <v>3</v>
      </c>
      <c r="G87">
        <v>0</v>
      </c>
      <c r="H87">
        <v>7</v>
      </c>
      <c r="I87">
        <v>1</v>
      </c>
      <c r="J87">
        <f>31+57+37</f>
        <v>125</v>
      </c>
      <c r="K87">
        <f>42+62+42</f>
        <v>146</v>
      </c>
      <c r="L87" t="s">
        <v>14</v>
      </c>
    </row>
    <row r="88" spans="1:12" x14ac:dyDescent="0.25">
      <c r="A88" t="s">
        <v>22</v>
      </c>
      <c r="B88" s="13">
        <v>45625</v>
      </c>
      <c r="C88" t="s">
        <v>169</v>
      </c>
      <c r="D88" s="15">
        <v>12</v>
      </c>
      <c r="E88" t="s">
        <v>12</v>
      </c>
      <c r="F88">
        <v>3</v>
      </c>
      <c r="G88">
        <v>0</v>
      </c>
      <c r="H88">
        <v>6</v>
      </c>
      <c r="I88">
        <v>0</v>
      </c>
      <c r="J88">
        <f>31+37+36</f>
        <v>104</v>
      </c>
      <c r="K88">
        <f>42+42+42</f>
        <v>126</v>
      </c>
      <c r="L88" t="s">
        <v>14</v>
      </c>
    </row>
    <row r="89" spans="1:12" x14ac:dyDescent="0.25">
      <c r="A89" t="s">
        <v>22</v>
      </c>
      <c r="B89" s="13">
        <v>45625</v>
      </c>
      <c r="C89" t="s">
        <v>152</v>
      </c>
      <c r="D89" s="15">
        <v>6</v>
      </c>
      <c r="E89" t="s">
        <v>12</v>
      </c>
      <c r="F89">
        <v>3</v>
      </c>
      <c r="G89">
        <v>1</v>
      </c>
      <c r="H89">
        <v>7</v>
      </c>
      <c r="I89">
        <v>3</v>
      </c>
      <c r="J89">
        <f>42+57+36</f>
        <v>135</v>
      </c>
      <c r="K89">
        <f>29+62+42</f>
        <v>133</v>
      </c>
      <c r="L89" t="s">
        <v>14</v>
      </c>
    </row>
    <row r="90" spans="1:12" x14ac:dyDescent="0.25">
      <c r="A90" t="s">
        <v>22</v>
      </c>
      <c r="B90" s="13">
        <v>45625</v>
      </c>
      <c r="C90" t="s">
        <v>134</v>
      </c>
      <c r="D90" s="15">
        <v>4</v>
      </c>
      <c r="E90" t="s">
        <v>12</v>
      </c>
      <c r="F90">
        <v>3</v>
      </c>
      <c r="G90">
        <v>1</v>
      </c>
      <c r="H90">
        <v>6</v>
      </c>
      <c r="I90">
        <v>2</v>
      </c>
      <c r="J90">
        <f>42+37+37</f>
        <v>116</v>
      </c>
      <c r="K90">
        <f>29+42+42</f>
        <v>113</v>
      </c>
      <c r="L90" t="s">
        <v>14</v>
      </c>
    </row>
    <row r="91" spans="1:12" x14ac:dyDescent="0.25">
      <c r="A91" t="s">
        <v>22</v>
      </c>
      <c r="B91" s="13">
        <v>45637</v>
      </c>
      <c r="C91" t="s">
        <v>42</v>
      </c>
      <c r="D91" s="15">
        <v>4</v>
      </c>
      <c r="E91" t="s">
        <v>13</v>
      </c>
      <c r="F91">
        <v>3</v>
      </c>
      <c r="G91">
        <v>1</v>
      </c>
      <c r="H91">
        <v>7</v>
      </c>
      <c r="I91">
        <v>3</v>
      </c>
      <c r="J91">
        <f>42+52+32</f>
        <v>126</v>
      </c>
      <c r="K91">
        <f>34+54+42</f>
        <v>130</v>
      </c>
      <c r="L91" t="s">
        <v>12</v>
      </c>
    </row>
    <row r="92" spans="1:12" x14ac:dyDescent="0.25">
      <c r="A92" t="s">
        <v>22</v>
      </c>
      <c r="B92" s="13">
        <v>45637</v>
      </c>
      <c r="C92" t="s">
        <v>146</v>
      </c>
      <c r="D92" s="15">
        <v>6</v>
      </c>
      <c r="E92" t="s">
        <v>13</v>
      </c>
      <c r="F92">
        <v>3</v>
      </c>
      <c r="G92">
        <v>2</v>
      </c>
      <c r="H92">
        <v>7</v>
      </c>
      <c r="I92">
        <v>4</v>
      </c>
      <c r="J92">
        <f>42+32+62</f>
        <v>136</v>
      </c>
      <c r="K92">
        <f>34+42+54</f>
        <v>130</v>
      </c>
      <c r="L92" t="s">
        <v>12</v>
      </c>
    </row>
    <row r="93" spans="1:12" x14ac:dyDescent="0.25">
      <c r="A93" t="s">
        <v>22</v>
      </c>
      <c r="B93" s="13">
        <v>45637</v>
      </c>
      <c r="C93" t="s">
        <v>158</v>
      </c>
      <c r="D93" s="15">
        <v>10</v>
      </c>
      <c r="E93" t="s">
        <v>13</v>
      </c>
      <c r="F93">
        <v>3</v>
      </c>
      <c r="G93">
        <v>1</v>
      </c>
      <c r="H93">
        <v>8</v>
      </c>
      <c r="I93">
        <v>3</v>
      </c>
      <c r="J93">
        <f>34+52+62</f>
        <v>148</v>
      </c>
      <c r="K93">
        <f>42+54+54</f>
        <v>150</v>
      </c>
      <c r="L93" t="s">
        <v>12</v>
      </c>
    </row>
    <row r="94" spans="1:12" x14ac:dyDescent="0.25">
      <c r="A94" t="s">
        <v>22</v>
      </c>
      <c r="B94" s="13">
        <v>45637</v>
      </c>
      <c r="C94" t="s">
        <v>174</v>
      </c>
      <c r="D94" s="15">
        <v>12</v>
      </c>
      <c r="E94" t="s">
        <v>13</v>
      </c>
      <c r="F94">
        <v>3</v>
      </c>
      <c r="G94">
        <v>0</v>
      </c>
      <c r="H94">
        <v>6</v>
      </c>
      <c r="I94">
        <v>0</v>
      </c>
      <c r="J94">
        <f>34+32+32</f>
        <v>98</v>
      </c>
      <c r="K94">
        <f>42+42+42</f>
        <v>126</v>
      </c>
      <c r="L94" t="s">
        <v>12</v>
      </c>
    </row>
    <row r="95" spans="1:12" x14ac:dyDescent="0.25">
      <c r="A95" t="s">
        <v>22</v>
      </c>
      <c r="B95" s="13">
        <v>45637</v>
      </c>
      <c r="C95" t="s">
        <v>152</v>
      </c>
      <c r="D95" s="15">
        <v>6</v>
      </c>
      <c r="E95" t="s">
        <v>12</v>
      </c>
      <c r="F95">
        <v>3</v>
      </c>
      <c r="G95">
        <v>2</v>
      </c>
      <c r="H95">
        <v>7</v>
      </c>
      <c r="I95">
        <v>4</v>
      </c>
      <c r="J95">
        <f>34+54+42</f>
        <v>130</v>
      </c>
      <c r="K95">
        <f>42+52+32</f>
        <v>126</v>
      </c>
      <c r="L95" t="s">
        <v>13</v>
      </c>
    </row>
    <row r="96" spans="1:12" x14ac:dyDescent="0.25">
      <c r="A96" t="s">
        <v>22</v>
      </c>
      <c r="B96" s="13">
        <v>45637</v>
      </c>
      <c r="C96" t="s">
        <v>201</v>
      </c>
      <c r="D96" s="15" t="s">
        <v>202</v>
      </c>
      <c r="E96" t="s">
        <v>12</v>
      </c>
      <c r="F96">
        <v>3</v>
      </c>
      <c r="G96">
        <v>1</v>
      </c>
      <c r="H96">
        <v>7</v>
      </c>
      <c r="I96">
        <v>3</v>
      </c>
      <c r="J96">
        <f>34+42+54</f>
        <v>130</v>
      </c>
      <c r="K96">
        <f>42+32+62</f>
        <v>136</v>
      </c>
      <c r="L96" t="s">
        <v>13</v>
      </c>
    </row>
    <row r="97" spans="1:12" x14ac:dyDescent="0.25">
      <c r="A97" t="s">
        <v>22</v>
      </c>
      <c r="B97" s="13">
        <v>45637</v>
      </c>
      <c r="C97" t="s">
        <v>168</v>
      </c>
      <c r="D97" s="15">
        <v>8</v>
      </c>
      <c r="E97" t="s">
        <v>12</v>
      </c>
      <c r="F97">
        <v>3</v>
      </c>
      <c r="G97">
        <v>2</v>
      </c>
      <c r="H97">
        <v>8</v>
      </c>
      <c r="I97">
        <v>5</v>
      </c>
      <c r="J97">
        <f>42+54+54</f>
        <v>150</v>
      </c>
      <c r="K97">
        <f>34+52+62</f>
        <v>148</v>
      </c>
      <c r="L97" t="s">
        <v>13</v>
      </c>
    </row>
    <row r="98" spans="1:12" x14ac:dyDescent="0.25">
      <c r="A98" t="s">
        <v>22</v>
      </c>
      <c r="B98" s="13">
        <v>45637</v>
      </c>
      <c r="C98" t="s">
        <v>135</v>
      </c>
      <c r="D98" s="15">
        <v>12</v>
      </c>
      <c r="E98" t="s">
        <v>12</v>
      </c>
      <c r="F98">
        <v>3</v>
      </c>
      <c r="G98">
        <v>3</v>
      </c>
      <c r="H98">
        <v>6</v>
      </c>
      <c r="I98">
        <v>6</v>
      </c>
      <c r="J98">
        <f>42+42+42</f>
        <v>126</v>
      </c>
      <c r="K98">
        <f>34+32+32</f>
        <v>98</v>
      </c>
      <c r="L98" t="s">
        <v>13</v>
      </c>
    </row>
    <row r="99" spans="1:12" x14ac:dyDescent="0.25">
      <c r="A99" t="s">
        <v>22</v>
      </c>
      <c r="B99" s="13">
        <v>45638</v>
      </c>
      <c r="C99" t="s">
        <v>203</v>
      </c>
      <c r="D99" s="15">
        <v>0</v>
      </c>
      <c r="E99" t="s">
        <v>10</v>
      </c>
      <c r="F99">
        <v>3</v>
      </c>
      <c r="G99">
        <v>2</v>
      </c>
      <c r="H99">
        <v>6</v>
      </c>
      <c r="I99">
        <v>4</v>
      </c>
      <c r="J99">
        <f>31+42+42</f>
        <v>115</v>
      </c>
      <c r="K99">
        <f>42+30+36</f>
        <v>108</v>
      </c>
      <c r="L99" t="s">
        <v>18</v>
      </c>
    </row>
    <row r="100" spans="1:12" x14ac:dyDescent="0.25">
      <c r="A100" t="s">
        <v>22</v>
      </c>
      <c r="B100" s="13">
        <v>45638</v>
      </c>
      <c r="C100" t="s">
        <v>204</v>
      </c>
      <c r="D100" s="15">
        <v>0</v>
      </c>
      <c r="E100" t="s">
        <v>10</v>
      </c>
      <c r="F100">
        <v>3</v>
      </c>
      <c r="G100">
        <v>2</v>
      </c>
      <c r="H100">
        <v>6</v>
      </c>
      <c r="I100">
        <v>4</v>
      </c>
      <c r="J100">
        <f>31+42+42</f>
        <v>115</v>
      </c>
      <c r="K100">
        <f>42+31+27</f>
        <v>100</v>
      </c>
      <c r="L100" t="s">
        <v>18</v>
      </c>
    </row>
    <row r="101" spans="1:12" x14ac:dyDescent="0.25">
      <c r="A101" t="s">
        <v>22</v>
      </c>
      <c r="B101" s="13">
        <v>45638</v>
      </c>
      <c r="C101" t="s">
        <v>193</v>
      </c>
      <c r="D101" s="15">
        <v>4</v>
      </c>
      <c r="E101" t="s">
        <v>10</v>
      </c>
      <c r="F101">
        <v>3</v>
      </c>
      <c r="G101">
        <v>3</v>
      </c>
      <c r="H101">
        <v>6</v>
      </c>
      <c r="I101">
        <v>6</v>
      </c>
      <c r="J101">
        <f>42+42+42</f>
        <v>126</v>
      </c>
      <c r="K101">
        <f>22+30+27</f>
        <v>79</v>
      </c>
      <c r="L101" t="s">
        <v>18</v>
      </c>
    </row>
    <row r="102" spans="1:12" x14ac:dyDescent="0.25">
      <c r="A102" t="s">
        <v>22</v>
      </c>
      <c r="B102" s="13">
        <v>45638</v>
      </c>
      <c r="C102" t="s">
        <v>37</v>
      </c>
      <c r="D102" s="15">
        <v>4</v>
      </c>
      <c r="E102" t="s">
        <v>10</v>
      </c>
      <c r="F102">
        <v>3</v>
      </c>
      <c r="G102">
        <v>3</v>
      </c>
      <c r="H102">
        <v>6</v>
      </c>
      <c r="I102">
        <v>6</v>
      </c>
      <c r="J102">
        <f>42+42+42</f>
        <v>126</v>
      </c>
      <c r="K102">
        <f>22+31+36</f>
        <v>89</v>
      </c>
      <c r="L102" t="s">
        <v>18</v>
      </c>
    </row>
    <row r="103" spans="1:12" x14ac:dyDescent="0.25">
      <c r="A103" t="s">
        <v>22</v>
      </c>
      <c r="B103" s="13">
        <v>45638</v>
      </c>
      <c r="C103" t="s">
        <v>70</v>
      </c>
      <c r="D103" s="15">
        <v>-8</v>
      </c>
      <c r="E103" t="s">
        <v>18</v>
      </c>
      <c r="F103">
        <v>3</v>
      </c>
      <c r="G103">
        <v>1</v>
      </c>
      <c r="H103">
        <v>6</v>
      </c>
      <c r="I103">
        <v>2</v>
      </c>
      <c r="J103">
        <f>42+30+36</f>
        <v>108</v>
      </c>
      <c r="K103">
        <f>31+42+42</f>
        <v>115</v>
      </c>
      <c r="L103" t="s">
        <v>10</v>
      </c>
    </row>
    <row r="104" spans="1:12" x14ac:dyDescent="0.25">
      <c r="A104" t="s">
        <v>22</v>
      </c>
      <c r="B104" s="13">
        <v>45638</v>
      </c>
      <c r="C104" t="s">
        <v>140</v>
      </c>
      <c r="D104" s="15">
        <v>-8</v>
      </c>
      <c r="E104" t="s">
        <v>18</v>
      </c>
      <c r="F104">
        <v>3</v>
      </c>
      <c r="G104">
        <v>1</v>
      </c>
      <c r="H104">
        <v>6</v>
      </c>
      <c r="I104">
        <v>2</v>
      </c>
      <c r="J104">
        <f>42+31+27</f>
        <v>100</v>
      </c>
      <c r="K104">
        <f>31+42+42</f>
        <v>115</v>
      </c>
      <c r="L104" t="s">
        <v>10</v>
      </c>
    </row>
    <row r="105" spans="1:12" x14ac:dyDescent="0.25">
      <c r="A105" t="s">
        <v>22</v>
      </c>
      <c r="B105" s="13">
        <v>45638</v>
      </c>
      <c r="C105" t="s">
        <v>141</v>
      </c>
      <c r="D105" s="15">
        <v>2</v>
      </c>
      <c r="E105" t="s">
        <v>18</v>
      </c>
      <c r="F105">
        <v>3</v>
      </c>
      <c r="G105">
        <v>0</v>
      </c>
      <c r="H105">
        <v>6</v>
      </c>
      <c r="I105">
        <v>0</v>
      </c>
      <c r="J105">
        <f>22+30+27</f>
        <v>79</v>
      </c>
      <c r="K105">
        <f>42+42+42</f>
        <v>126</v>
      </c>
      <c r="L105" t="s">
        <v>10</v>
      </c>
    </row>
    <row r="106" spans="1:12" x14ac:dyDescent="0.25">
      <c r="A106" t="s">
        <v>22</v>
      </c>
      <c r="B106" s="13">
        <v>45638</v>
      </c>
      <c r="C106" t="s">
        <v>205</v>
      </c>
      <c r="D106" s="15">
        <v>0</v>
      </c>
      <c r="E106" t="s">
        <v>18</v>
      </c>
      <c r="F106">
        <v>3</v>
      </c>
      <c r="G106">
        <v>0</v>
      </c>
      <c r="H106">
        <v>6</v>
      </c>
      <c r="I106">
        <v>0</v>
      </c>
      <c r="J106">
        <f>22+31+36</f>
        <v>89</v>
      </c>
      <c r="K106">
        <f>42+42+42</f>
        <v>126</v>
      </c>
      <c r="L106" t="s">
        <v>10</v>
      </c>
    </row>
    <row r="107" spans="1:12" x14ac:dyDescent="0.25">
      <c r="A107" t="s">
        <v>22</v>
      </c>
      <c r="B107" s="13">
        <v>45639</v>
      </c>
      <c r="C107" t="s">
        <v>156</v>
      </c>
      <c r="D107" s="15">
        <v>-2</v>
      </c>
      <c r="E107" t="s">
        <v>15</v>
      </c>
      <c r="F107">
        <v>3</v>
      </c>
      <c r="G107">
        <v>1</v>
      </c>
      <c r="H107">
        <v>7</v>
      </c>
      <c r="I107">
        <v>2</v>
      </c>
      <c r="J107">
        <f>35+23+61</f>
        <v>119</v>
      </c>
      <c r="K107">
        <f>42+42+53</f>
        <v>137</v>
      </c>
      <c r="L107" t="s">
        <v>14</v>
      </c>
    </row>
    <row r="108" spans="1:12" x14ac:dyDescent="0.25">
      <c r="A108" t="s">
        <v>22</v>
      </c>
      <c r="B108" s="13">
        <v>45639</v>
      </c>
      <c r="C108" t="s">
        <v>139</v>
      </c>
      <c r="D108" s="15">
        <v>2</v>
      </c>
      <c r="E108" t="s">
        <v>15</v>
      </c>
      <c r="F108">
        <v>3</v>
      </c>
      <c r="G108">
        <v>1</v>
      </c>
      <c r="H108">
        <v>6</v>
      </c>
      <c r="I108">
        <v>2</v>
      </c>
      <c r="J108">
        <f>35+42+28</f>
        <v>105</v>
      </c>
      <c r="K108">
        <f>42+37+42</f>
        <v>121</v>
      </c>
      <c r="L108" t="s">
        <v>14</v>
      </c>
    </row>
    <row r="109" spans="1:12" x14ac:dyDescent="0.25">
      <c r="A109" t="s">
        <v>22</v>
      </c>
      <c r="B109" s="13">
        <v>45639</v>
      </c>
      <c r="C109" t="s">
        <v>137</v>
      </c>
      <c r="D109" s="15">
        <v>2</v>
      </c>
      <c r="E109" t="s">
        <v>15</v>
      </c>
      <c r="F109">
        <v>3</v>
      </c>
      <c r="G109">
        <v>0</v>
      </c>
      <c r="H109">
        <v>7</v>
      </c>
      <c r="I109">
        <v>1</v>
      </c>
      <c r="J109">
        <f>49+23+28</f>
        <v>100</v>
      </c>
      <c r="K109">
        <f>55+42+42</f>
        <v>139</v>
      </c>
      <c r="L109" t="s">
        <v>14</v>
      </c>
    </row>
    <row r="110" spans="1:12" x14ac:dyDescent="0.25">
      <c r="A110" t="s">
        <v>22</v>
      </c>
      <c r="B110" s="13">
        <v>45639</v>
      </c>
      <c r="C110" t="s">
        <v>138</v>
      </c>
      <c r="D110" s="15">
        <v>4</v>
      </c>
      <c r="E110" t="s">
        <v>15</v>
      </c>
      <c r="F110">
        <v>3</v>
      </c>
      <c r="G110">
        <v>2</v>
      </c>
      <c r="H110">
        <v>8</v>
      </c>
      <c r="I110">
        <v>5</v>
      </c>
      <c r="J110">
        <f>49+42+61</f>
        <v>152</v>
      </c>
      <c r="K110">
        <f>55+37+53</f>
        <v>145</v>
      </c>
      <c r="L110" t="s">
        <v>14</v>
      </c>
    </row>
    <row r="111" spans="1:12" x14ac:dyDescent="0.25">
      <c r="A111" t="s">
        <v>22</v>
      </c>
      <c r="B111" s="13">
        <v>45639</v>
      </c>
      <c r="C111" t="s">
        <v>47</v>
      </c>
      <c r="D111" s="15">
        <v>-6</v>
      </c>
      <c r="E111" t="s">
        <v>14</v>
      </c>
      <c r="F111">
        <v>3</v>
      </c>
      <c r="G111">
        <v>2</v>
      </c>
      <c r="H111">
        <v>7</v>
      </c>
      <c r="I111">
        <v>5</v>
      </c>
      <c r="J111">
        <f>42+42+53</f>
        <v>137</v>
      </c>
      <c r="K111">
        <f>35+23+61</f>
        <v>119</v>
      </c>
      <c r="L111" t="s">
        <v>15</v>
      </c>
    </row>
    <row r="112" spans="1:12" x14ac:dyDescent="0.25">
      <c r="A112" t="s">
        <v>22</v>
      </c>
      <c r="B112" s="13">
        <v>45639</v>
      </c>
      <c r="C112" t="s">
        <v>48</v>
      </c>
      <c r="D112" s="15">
        <v>-6</v>
      </c>
      <c r="E112" t="s">
        <v>14</v>
      </c>
      <c r="F112">
        <v>3</v>
      </c>
      <c r="G112">
        <v>2</v>
      </c>
      <c r="H112">
        <v>6</v>
      </c>
      <c r="I112">
        <v>4</v>
      </c>
      <c r="J112">
        <f>42+37+42</f>
        <v>121</v>
      </c>
      <c r="K112">
        <f>35+42+28</f>
        <v>105</v>
      </c>
      <c r="L112" t="s">
        <v>15</v>
      </c>
    </row>
    <row r="113" spans="1:12" x14ac:dyDescent="0.25">
      <c r="A113" t="s">
        <v>22</v>
      </c>
      <c r="B113" s="13">
        <v>45639</v>
      </c>
      <c r="C113" t="s">
        <v>51</v>
      </c>
      <c r="D113" s="15">
        <v>-6</v>
      </c>
      <c r="E113" t="s">
        <v>14</v>
      </c>
      <c r="F113">
        <v>3</v>
      </c>
      <c r="G113">
        <v>3</v>
      </c>
      <c r="H113">
        <v>7</v>
      </c>
      <c r="I113">
        <v>6</v>
      </c>
      <c r="J113">
        <f>55+42+42</f>
        <v>139</v>
      </c>
      <c r="K113">
        <f>49+23+28</f>
        <v>100</v>
      </c>
      <c r="L113" t="s">
        <v>15</v>
      </c>
    </row>
    <row r="114" spans="1:12" x14ac:dyDescent="0.25">
      <c r="A114" t="s">
        <v>22</v>
      </c>
      <c r="B114" s="13">
        <v>45639</v>
      </c>
      <c r="C114" t="s">
        <v>155</v>
      </c>
      <c r="D114" s="15">
        <v>4</v>
      </c>
      <c r="E114" t="s">
        <v>14</v>
      </c>
      <c r="F114">
        <v>3</v>
      </c>
      <c r="G114">
        <v>1</v>
      </c>
      <c r="H114">
        <v>8</v>
      </c>
      <c r="I114">
        <v>3</v>
      </c>
      <c r="J114">
        <f>55+37+53</f>
        <v>145</v>
      </c>
      <c r="K114">
        <f>49+42+61</f>
        <v>152</v>
      </c>
      <c r="L114" t="s">
        <v>15</v>
      </c>
    </row>
    <row r="116" spans="1:12" x14ac:dyDescent="0.25">
      <c r="A116" s="14" t="s">
        <v>44</v>
      </c>
      <c r="B116" s="14"/>
      <c r="C116" s="14"/>
      <c r="D116" s="14"/>
      <c r="E116" s="14"/>
      <c r="F116" s="14">
        <f>SUM(F3:F115)</f>
        <v>336</v>
      </c>
      <c r="G116" s="14">
        <f t="shared" ref="G116:K116" si="0">SUM(G3:G115)</f>
        <v>168</v>
      </c>
      <c r="H116" s="14">
        <f t="shared" si="0"/>
        <v>776</v>
      </c>
      <c r="I116" s="14">
        <f t="shared" si="0"/>
        <v>388</v>
      </c>
      <c r="J116" s="14">
        <f t="shared" si="0"/>
        <v>14484</v>
      </c>
      <c r="K116" s="14">
        <f t="shared" si="0"/>
        <v>14484</v>
      </c>
    </row>
    <row r="117" spans="1:12" x14ac:dyDescent="0.25">
      <c r="G117">
        <f>+F116/2-G116</f>
        <v>0</v>
      </c>
      <c r="I117">
        <f>+H116/2-I116</f>
        <v>0</v>
      </c>
      <c r="K117">
        <f>+J116-K116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FB2E-367F-4C15-AABE-F375157837E3}">
  <dimension ref="A1:L30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3" max="3" width="16.5703125" bestFit="1" customWidth="1"/>
    <col min="5" max="5" width="9.5703125" bestFit="1" customWidth="1"/>
    <col min="12" max="12" width="10.140625" bestFit="1" customWidth="1"/>
  </cols>
  <sheetData>
    <row r="1" spans="1:12" x14ac:dyDescent="0.25">
      <c r="A1" s="17" t="s">
        <v>0</v>
      </c>
      <c r="B1" s="17" t="s">
        <v>1</v>
      </c>
      <c r="C1" s="17" t="s">
        <v>28</v>
      </c>
      <c r="D1" s="17" t="s">
        <v>35</v>
      </c>
      <c r="E1" s="17" t="s">
        <v>33</v>
      </c>
      <c r="F1" s="17" t="s">
        <v>27</v>
      </c>
      <c r="G1" s="17" t="s">
        <v>27</v>
      </c>
      <c r="H1" s="17" t="s">
        <v>30</v>
      </c>
      <c r="I1" s="17" t="s">
        <v>43</v>
      </c>
      <c r="J1" s="17" t="s">
        <v>8</v>
      </c>
      <c r="K1" s="17" t="s">
        <v>31</v>
      </c>
      <c r="L1" s="17" t="s">
        <v>32</v>
      </c>
    </row>
    <row r="2" spans="1:12" x14ac:dyDescent="0.25">
      <c r="A2" s="17"/>
      <c r="B2" s="17"/>
      <c r="C2" s="17"/>
      <c r="D2" s="17"/>
      <c r="E2" s="17"/>
      <c r="F2" s="17" t="s">
        <v>29</v>
      </c>
      <c r="G2" s="17" t="s">
        <v>3</v>
      </c>
      <c r="H2" s="17" t="s">
        <v>29</v>
      </c>
      <c r="I2" s="17" t="s">
        <v>3</v>
      </c>
      <c r="J2" s="17" t="s">
        <v>6</v>
      </c>
      <c r="K2" s="17" t="s">
        <v>7</v>
      </c>
      <c r="L2" s="17"/>
    </row>
    <row r="4" spans="1:12" x14ac:dyDescent="0.25">
      <c r="A4" t="s">
        <v>150</v>
      </c>
      <c r="B4" s="13">
        <v>45603</v>
      </c>
      <c r="C4" t="s">
        <v>34</v>
      </c>
      <c r="D4">
        <v>-4</v>
      </c>
      <c r="E4" t="s">
        <v>10</v>
      </c>
      <c r="F4">
        <v>3</v>
      </c>
      <c r="G4">
        <v>1</v>
      </c>
      <c r="H4">
        <v>7</v>
      </c>
      <c r="I4">
        <v>3</v>
      </c>
      <c r="J4">
        <f>46+21+42</f>
        <v>109</v>
      </c>
      <c r="K4">
        <f>54+42+38</f>
        <v>134</v>
      </c>
      <c r="L4" t="s">
        <v>18</v>
      </c>
    </row>
    <row r="5" spans="1:12" x14ac:dyDescent="0.25">
      <c r="A5" t="s">
        <v>150</v>
      </c>
      <c r="B5" s="13">
        <v>45603</v>
      </c>
      <c r="C5" t="s">
        <v>175</v>
      </c>
      <c r="D5">
        <v>-2</v>
      </c>
      <c r="E5" t="s">
        <v>10</v>
      </c>
      <c r="F5">
        <v>3</v>
      </c>
      <c r="G5">
        <v>1</v>
      </c>
      <c r="H5">
        <v>7</v>
      </c>
      <c r="I5">
        <v>3</v>
      </c>
      <c r="J5">
        <f>46+42+28</f>
        <v>116</v>
      </c>
      <c r="K5">
        <f>54+31+42</f>
        <v>127</v>
      </c>
      <c r="L5" t="s">
        <v>18</v>
      </c>
    </row>
    <row r="6" spans="1:12" x14ac:dyDescent="0.25">
      <c r="A6" t="s">
        <v>150</v>
      </c>
      <c r="B6" s="13">
        <v>45603</v>
      </c>
      <c r="C6" t="s">
        <v>37</v>
      </c>
      <c r="D6">
        <v>2</v>
      </c>
      <c r="E6" t="s">
        <v>10</v>
      </c>
      <c r="F6">
        <v>3</v>
      </c>
      <c r="G6">
        <v>1</v>
      </c>
      <c r="H6">
        <v>7</v>
      </c>
      <c r="I6">
        <v>2</v>
      </c>
      <c r="J6">
        <f>57+21+28</f>
        <v>106</v>
      </c>
      <c r="K6">
        <f>52+42+42</f>
        <v>136</v>
      </c>
      <c r="L6" t="s">
        <v>18</v>
      </c>
    </row>
    <row r="7" spans="1:12" x14ac:dyDescent="0.25">
      <c r="A7" t="s">
        <v>150</v>
      </c>
      <c r="B7" s="13">
        <v>45603</v>
      </c>
      <c r="C7" t="s">
        <v>38</v>
      </c>
      <c r="D7">
        <v>6</v>
      </c>
      <c r="E7" t="s">
        <v>10</v>
      </c>
      <c r="F7">
        <v>3</v>
      </c>
      <c r="G7">
        <v>3</v>
      </c>
      <c r="H7">
        <v>7</v>
      </c>
      <c r="I7">
        <v>6</v>
      </c>
      <c r="J7">
        <f>57+42+42</f>
        <v>141</v>
      </c>
      <c r="K7">
        <f>52+31+38</f>
        <v>121</v>
      </c>
      <c r="L7" t="s">
        <v>18</v>
      </c>
    </row>
    <row r="8" spans="1:12" x14ac:dyDescent="0.25">
      <c r="A8" t="s">
        <v>150</v>
      </c>
      <c r="B8" s="13">
        <v>45603</v>
      </c>
      <c r="C8" t="s">
        <v>67</v>
      </c>
      <c r="D8">
        <v>0</v>
      </c>
      <c r="E8" t="s">
        <v>18</v>
      </c>
      <c r="F8">
        <v>3</v>
      </c>
      <c r="G8">
        <v>2</v>
      </c>
      <c r="H8">
        <v>7</v>
      </c>
      <c r="I8">
        <v>4</v>
      </c>
      <c r="J8">
        <f>54+42+38</f>
        <v>134</v>
      </c>
      <c r="K8">
        <f>46+21+42</f>
        <v>109</v>
      </c>
      <c r="L8" t="s">
        <v>10</v>
      </c>
    </row>
    <row r="9" spans="1:12" x14ac:dyDescent="0.25">
      <c r="A9" t="s">
        <v>150</v>
      </c>
      <c r="B9" s="13">
        <v>45603</v>
      </c>
      <c r="C9" t="s">
        <v>68</v>
      </c>
      <c r="D9">
        <v>2</v>
      </c>
      <c r="E9" t="s">
        <v>18</v>
      </c>
      <c r="F9">
        <v>3</v>
      </c>
      <c r="G9">
        <v>2</v>
      </c>
      <c r="H9">
        <v>7</v>
      </c>
      <c r="I9">
        <v>4</v>
      </c>
      <c r="J9">
        <f>54+31+42</f>
        <v>127</v>
      </c>
      <c r="K9">
        <f>46+42+28</f>
        <v>116</v>
      </c>
      <c r="L9" t="s">
        <v>10</v>
      </c>
    </row>
    <row r="10" spans="1:12" x14ac:dyDescent="0.25">
      <c r="A10" t="s">
        <v>150</v>
      </c>
      <c r="B10" s="13">
        <v>45603</v>
      </c>
      <c r="C10" t="s">
        <v>176</v>
      </c>
      <c r="D10">
        <v>-12</v>
      </c>
      <c r="E10" t="s">
        <v>18</v>
      </c>
      <c r="F10">
        <v>3</v>
      </c>
      <c r="G10">
        <v>2</v>
      </c>
      <c r="H10">
        <v>7</v>
      </c>
      <c r="I10">
        <v>5</v>
      </c>
      <c r="J10">
        <f>52+42+42</f>
        <v>136</v>
      </c>
      <c r="K10">
        <f>57+21+28</f>
        <v>106</v>
      </c>
      <c r="L10" t="s">
        <v>10</v>
      </c>
    </row>
    <row r="11" spans="1:12" x14ac:dyDescent="0.25">
      <c r="A11" t="s">
        <v>150</v>
      </c>
      <c r="B11" s="13">
        <v>45603</v>
      </c>
      <c r="C11" t="s">
        <v>141</v>
      </c>
      <c r="D11">
        <v>2</v>
      </c>
      <c r="E11" t="s">
        <v>18</v>
      </c>
      <c r="F11">
        <v>3</v>
      </c>
      <c r="G11">
        <v>0</v>
      </c>
      <c r="H11">
        <v>7</v>
      </c>
      <c r="I11">
        <v>1</v>
      </c>
      <c r="J11">
        <f>52+31+38</f>
        <v>121</v>
      </c>
      <c r="K11">
        <f>57+42+42</f>
        <v>141</v>
      </c>
      <c r="L11" t="s">
        <v>10</v>
      </c>
    </row>
    <row r="12" spans="1:12" x14ac:dyDescent="0.25">
      <c r="A12" t="s">
        <v>150</v>
      </c>
      <c r="B12" s="13">
        <v>45625</v>
      </c>
      <c r="C12" t="s">
        <v>191</v>
      </c>
      <c r="D12">
        <v>-6</v>
      </c>
      <c r="E12" t="s">
        <v>197</v>
      </c>
      <c r="F12">
        <v>3</v>
      </c>
      <c r="G12">
        <v>2</v>
      </c>
      <c r="H12">
        <v>7</v>
      </c>
      <c r="I12">
        <v>4</v>
      </c>
      <c r="J12">
        <f>42+57+35</f>
        <v>134</v>
      </c>
      <c r="K12">
        <f>26+54+42</f>
        <v>122</v>
      </c>
      <c r="L12" t="s">
        <v>18</v>
      </c>
    </row>
    <row r="13" spans="1:12" x14ac:dyDescent="0.25">
      <c r="A13" t="s">
        <v>150</v>
      </c>
      <c r="B13" s="13">
        <v>45625</v>
      </c>
      <c r="C13" t="s">
        <v>49</v>
      </c>
      <c r="D13">
        <v>2</v>
      </c>
      <c r="E13" t="s">
        <v>197</v>
      </c>
      <c r="F13">
        <v>3</v>
      </c>
      <c r="G13">
        <v>1</v>
      </c>
      <c r="H13">
        <v>6</v>
      </c>
      <c r="I13">
        <v>2</v>
      </c>
      <c r="J13">
        <f>42+34+33</f>
        <v>109</v>
      </c>
      <c r="K13">
        <f>26+42+42</f>
        <v>110</v>
      </c>
      <c r="L13" t="s">
        <v>18</v>
      </c>
    </row>
    <row r="14" spans="1:12" x14ac:dyDescent="0.25">
      <c r="A14" t="s">
        <v>150</v>
      </c>
      <c r="B14" s="13">
        <v>45625</v>
      </c>
      <c r="C14" t="s">
        <v>154</v>
      </c>
      <c r="D14">
        <v>-2</v>
      </c>
      <c r="E14" t="s">
        <v>197</v>
      </c>
      <c r="F14">
        <v>3</v>
      </c>
      <c r="G14">
        <v>1</v>
      </c>
      <c r="H14">
        <v>8</v>
      </c>
      <c r="I14">
        <v>3</v>
      </c>
      <c r="J14">
        <f>60+57+33</f>
        <v>150</v>
      </c>
      <c r="K14">
        <f>55+54+42</f>
        <v>151</v>
      </c>
      <c r="L14" t="s">
        <v>18</v>
      </c>
    </row>
    <row r="15" spans="1:12" x14ac:dyDescent="0.25">
      <c r="A15" t="s">
        <v>150</v>
      </c>
      <c r="B15" s="13">
        <v>45625</v>
      </c>
      <c r="C15" t="s">
        <v>52</v>
      </c>
      <c r="D15">
        <v>8</v>
      </c>
      <c r="E15" t="s">
        <v>197</v>
      </c>
      <c r="F15">
        <v>3</v>
      </c>
      <c r="G15">
        <v>0</v>
      </c>
      <c r="H15">
        <v>7</v>
      </c>
      <c r="I15">
        <v>1</v>
      </c>
      <c r="J15">
        <f>60+34+35</f>
        <v>129</v>
      </c>
      <c r="K15">
        <f>55+42+42</f>
        <v>139</v>
      </c>
      <c r="L15" t="s">
        <v>18</v>
      </c>
    </row>
    <row r="16" spans="1:12" x14ac:dyDescent="0.25">
      <c r="A16" t="s">
        <v>150</v>
      </c>
      <c r="B16" s="13">
        <v>45625</v>
      </c>
      <c r="C16" t="s">
        <v>67</v>
      </c>
      <c r="D16">
        <v>0</v>
      </c>
      <c r="E16" t="s">
        <v>18</v>
      </c>
      <c r="F16">
        <v>3</v>
      </c>
      <c r="G16">
        <v>1</v>
      </c>
      <c r="H16">
        <v>7</v>
      </c>
      <c r="I16">
        <v>3</v>
      </c>
      <c r="J16">
        <f>26+54+42</f>
        <v>122</v>
      </c>
      <c r="K16">
        <f>42+57+35</f>
        <v>134</v>
      </c>
      <c r="L16" t="s">
        <v>197</v>
      </c>
    </row>
    <row r="17" spans="1:12" x14ac:dyDescent="0.25">
      <c r="A17" t="s">
        <v>150</v>
      </c>
      <c r="B17" s="13">
        <v>45625</v>
      </c>
      <c r="C17" t="s">
        <v>144</v>
      </c>
      <c r="D17">
        <v>4</v>
      </c>
      <c r="E17" t="s">
        <v>18</v>
      </c>
      <c r="F17">
        <v>3</v>
      </c>
      <c r="G17">
        <v>2</v>
      </c>
      <c r="H17">
        <v>6</v>
      </c>
      <c r="I17">
        <v>4</v>
      </c>
      <c r="J17">
        <f>26+42+42</f>
        <v>110</v>
      </c>
      <c r="K17">
        <f>42+34+33</f>
        <v>109</v>
      </c>
      <c r="L17" t="s">
        <v>197</v>
      </c>
    </row>
    <row r="18" spans="1:12" x14ac:dyDescent="0.25">
      <c r="A18" t="s">
        <v>150</v>
      </c>
      <c r="B18" s="13">
        <v>45625</v>
      </c>
      <c r="C18" t="s">
        <v>140</v>
      </c>
      <c r="D18">
        <v>-12</v>
      </c>
      <c r="E18" t="s">
        <v>18</v>
      </c>
      <c r="F18">
        <v>3</v>
      </c>
      <c r="G18">
        <v>2</v>
      </c>
      <c r="H18">
        <v>8</v>
      </c>
      <c r="I18">
        <v>5</v>
      </c>
      <c r="J18">
        <f>55+54+42</f>
        <v>151</v>
      </c>
      <c r="K18">
        <f>60+57+33</f>
        <v>150</v>
      </c>
      <c r="L18" t="s">
        <v>197</v>
      </c>
    </row>
    <row r="19" spans="1:12" x14ac:dyDescent="0.25">
      <c r="A19" t="s">
        <v>150</v>
      </c>
      <c r="B19" s="13">
        <v>45625</v>
      </c>
      <c r="C19" t="s">
        <v>196</v>
      </c>
      <c r="D19">
        <v>-10</v>
      </c>
      <c r="E19" t="s">
        <v>18</v>
      </c>
      <c r="F19">
        <v>3</v>
      </c>
      <c r="G19">
        <v>3</v>
      </c>
      <c r="H19">
        <v>7</v>
      </c>
      <c r="I19">
        <v>6</v>
      </c>
      <c r="J19">
        <f>55+42+42</f>
        <v>139</v>
      </c>
      <c r="K19">
        <f>60+34+35</f>
        <v>129</v>
      </c>
      <c r="L19" t="s">
        <v>197</v>
      </c>
    </row>
    <row r="20" spans="1:12" x14ac:dyDescent="0.25">
      <c r="A20" t="s">
        <v>150</v>
      </c>
      <c r="B20" s="13">
        <v>45635</v>
      </c>
      <c r="C20" t="s">
        <v>140</v>
      </c>
      <c r="D20">
        <v>-12</v>
      </c>
      <c r="E20" t="s">
        <v>18</v>
      </c>
      <c r="F20">
        <v>3</v>
      </c>
      <c r="G20">
        <v>2</v>
      </c>
      <c r="H20">
        <v>7</v>
      </c>
      <c r="I20">
        <v>5</v>
      </c>
      <c r="J20">
        <f>42+42+50</f>
        <v>134</v>
      </c>
      <c r="K20">
        <f>30+34+58</f>
        <v>122</v>
      </c>
      <c r="L20" t="s">
        <v>18</v>
      </c>
    </row>
    <row r="21" spans="1:12" x14ac:dyDescent="0.25">
      <c r="A21" t="s">
        <v>150</v>
      </c>
      <c r="B21" s="13">
        <v>45635</v>
      </c>
      <c r="C21" t="s">
        <v>196</v>
      </c>
      <c r="D21">
        <v>-10</v>
      </c>
      <c r="E21" t="s">
        <v>18</v>
      </c>
      <c r="F21">
        <v>3</v>
      </c>
      <c r="G21">
        <v>3</v>
      </c>
      <c r="H21">
        <v>7</v>
      </c>
      <c r="I21">
        <v>6</v>
      </c>
      <c r="J21">
        <f>42+42+60</f>
        <v>144</v>
      </c>
      <c r="K21">
        <f>30+28+47</f>
        <v>105</v>
      </c>
      <c r="L21" t="s">
        <v>18</v>
      </c>
    </row>
    <row r="22" spans="1:12" x14ac:dyDescent="0.25">
      <c r="A22" t="s">
        <v>150</v>
      </c>
      <c r="B22" s="13">
        <v>45635</v>
      </c>
      <c r="C22" t="s">
        <v>67</v>
      </c>
      <c r="D22">
        <v>0</v>
      </c>
      <c r="E22" t="s">
        <v>18</v>
      </c>
      <c r="F22">
        <v>3</v>
      </c>
      <c r="G22">
        <v>2</v>
      </c>
      <c r="H22">
        <v>7</v>
      </c>
      <c r="I22">
        <v>4</v>
      </c>
      <c r="J22">
        <f>23+42+60</f>
        <v>125</v>
      </c>
      <c r="K22">
        <f>42+34+47</f>
        <v>123</v>
      </c>
      <c r="L22" t="s">
        <v>18</v>
      </c>
    </row>
    <row r="23" spans="1:12" x14ac:dyDescent="0.25">
      <c r="A23" t="s">
        <v>150</v>
      </c>
      <c r="B23" s="13">
        <v>45635</v>
      </c>
      <c r="C23" t="s">
        <v>144</v>
      </c>
      <c r="D23">
        <v>4</v>
      </c>
      <c r="E23" t="s">
        <v>18</v>
      </c>
      <c r="F23">
        <v>3</v>
      </c>
      <c r="G23">
        <v>1</v>
      </c>
      <c r="H23">
        <v>7</v>
      </c>
      <c r="I23">
        <v>3</v>
      </c>
      <c r="J23">
        <f>23+42+50</f>
        <v>115</v>
      </c>
      <c r="K23">
        <f>42+28+58</f>
        <v>128</v>
      </c>
      <c r="L23" t="s">
        <v>18</v>
      </c>
    </row>
    <row r="24" spans="1:12" x14ac:dyDescent="0.25">
      <c r="A24" t="s">
        <v>150</v>
      </c>
      <c r="B24" s="13">
        <v>45635</v>
      </c>
      <c r="C24" t="s">
        <v>63</v>
      </c>
      <c r="D24">
        <v>-4</v>
      </c>
      <c r="E24" t="s">
        <v>197</v>
      </c>
      <c r="F24">
        <v>3</v>
      </c>
      <c r="G24">
        <v>1</v>
      </c>
      <c r="H24">
        <v>7</v>
      </c>
      <c r="I24">
        <v>2</v>
      </c>
      <c r="J24">
        <f>30+34+58</f>
        <v>122</v>
      </c>
      <c r="K24">
        <f>42+42+50</f>
        <v>134</v>
      </c>
      <c r="L24" t="s">
        <v>197</v>
      </c>
    </row>
    <row r="25" spans="1:12" x14ac:dyDescent="0.25">
      <c r="A25" t="s">
        <v>150</v>
      </c>
      <c r="B25" s="13">
        <v>45635</v>
      </c>
      <c r="C25" t="s">
        <v>154</v>
      </c>
      <c r="D25">
        <v>-2</v>
      </c>
      <c r="E25" t="s">
        <v>197</v>
      </c>
      <c r="F25">
        <v>3</v>
      </c>
      <c r="G25">
        <v>0</v>
      </c>
      <c r="H25">
        <v>7</v>
      </c>
      <c r="I25">
        <v>1</v>
      </c>
      <c r="J25">
        <f>30+28+47</f>
        <v>105</v>
      </c>
      <c r="K25">
        <f>42+42+60</f>
        <v>144</v>
      </c>
      <c r="L25" t="s">
        <v>197</v>
      </c>
    </row>
    <row r="26" spans="1:12" x14ac:dyDescent="0.25">
      <c r="A26" t="s">
        <v>150</v>
      </c>
      <c r="B26" s="13">
        <v>45635</v>
      </c>
      <c r="C26" t="s">
        <v>191</v>
      </c>
      <c r="D26">
        <v>-6</v>
      </c>
      <c r="E26" t="s">
        <v>197</v>
      </c>
      <c r="F26">
        <v>3</v>
      </c>
      <c r="G26">
        <v>1</v>
      </c>
      <c r="H26">
        <v>7</v>
      </c>
      <c r="I26">
        <v>3</v>
      </c>
      <c r="J26">
        <f>42+34+47</f>
        <v>123</v>
      </c>
      <c r="K26">
        <f>23+42+60</f>
        <v>125</v>
      </c>
      <c r="L26" t="s">
        <v>197</v>
      </c>
    </row>
    <row r="27" spans="1:12" x14ac:dyDescent="0.25">
      <c r="A27" t="s">
        <v>150</v>
      </c>
      <c r="B27" s="13">
        <v>45635</v>
      </c>
      <c r="C27" t="s">
        <v>179</v>
      </c>
      <c r="D27">
        <v>2</v>
      </c>
      <c r="E27" t="s">
        <v>197</v>
      </c>
      <c r="F27">
        <v>3</v>
      </c>
      <c r="G27">
        <v>2</v>
      </c>
      <c r="H27">
        <v>7</v>
      </c>
      <c r="I27">
        <v>4</v>
      </c>
      <c r="J27">
        <f>42+28+58</f>
        <v>128</v>
      </c>
      <c r="K27">
        <f>23+42+50</f>
        <v>115</v>
      </c>
      <c r="L27" t="s">
        <v>197</v>
      </c>
    </row>
    <row r="29" spans="1:12" x14ac:dyDescent="0.25">
      <c r="A29" s="14" t="s">
        <v>44</v>
      </c>
      <c r="B29" s="14"/>
      <c r="C29" s="14"/>
      <c r="D29" s="14"/>
      <c r="E29" s="14"/>
      <c r="F29" s="14">
        <f>SUM(F2:F28)</f>
        <v>72</v>
      </c>
      <c r="G29" s="14">
        <f t="shared" ref="G29:K29" si="0">SUM(G2:G28)</f>
        <v>36</v>
      </c>
      <c r="H29" s="14">
        <f t="shared" si="0"/>
        <v>168</v>
      </c>
      <c r="I29" s="14">
        <f t="shared" si="0"/>
        <v>84</v>
      </c>
      <c r="J29" s="14">
        <f t="shared" si="0"/>
        <v>3030</v>
      </c>
      <c r="K29" s="14">
        <f t="shared" si="0"/>
        <v>3030</v>
      </c>
    </row>
    <row r="30" spans="1:12" x14ac:dyDescent="0.25">
      <c r="G30">
        <f>+F29/2-G29</f>
        <v>0</v>
      </c>
      <c r="I30">
        <f>+H29/2-I29</f>
        <v>0</v>
      </c>
      <c r="K30">
        <f>+J29-K29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7869-10A9-48B9-B0B3-AF72E41A3710}">
  <dimension ref="A1:L33"/>
  <sheetViews>
    <sheetView workbookViewId="0">
      <pane ySplit="2" topLeftCell="A3" activePane="bottomLeft" state="frozen"/>
      <selection pane="bottomLeft"/>
    </sheetView>
  </sheetViews>
  <sheetFormatPr defaultRowHeight="15" x14ac:dyDescent="0.25"/>
  <cols>
    <col min="3" max="3" width="21.140625" bestFit="1" customWidth="1"/>
    <col min="5" max="5" width="13.140625" bestFit="1" customWidth="1"/>
    <col min="12" max="12" width="13.140625" bestFit="1" customWidth="1"/>
  </cols>
  <sheetData>
    <row r="1" spans="1:12" x14ac:dyDescent="0.25">
      <c r="A1" s="17" t="s">
        <v>0</v>
      </c>
      <c r="B1" s="17" t="s">
        <v>1</v>
      </c>
      <c r="C1" s="17" t="s">
        <v>28</v>
      </c>
      <c r="D1" s="17" t="s">
        <v>35</v>
      </c>
      <c r="E1" s="17" t="s">
        <v>33</v>
      </c>
      <c r="F1" s="17" t="s">
        <v>27</v>
      </c>
      <c r="G1" s="17" t="s">
        <v>27</v>
      </c>
      <c r="H1" s="17" t="s">
        <v>30</v>
      </c>
      <c r="I1" s="17" t="s">
        <v>43</v>
      </c>
      <c r="J1" s="17" t="s">
        <v>8</v>
      </c>
      <c r="K1" s="17" t="s">
        <v>31</v>
      </c>
      <c r="L1" s="17" t="s">
        <v>32</v>
      </c>
    </row>
    <row r="2" spans="1:12" x14ac:dyDescent="0.25">
      <c r="A2" s="17"/>
      <c r="B2" s="17"/>
      <c r="C2" s="17"/>
      <c r="D2" s="17"/>
      <c r="E2" s="17"/>
      <c r="F2" s="17" t="s">
        <v>29</v>
      </c>
      <c r="G2" s="17" t="s">
        <v>3</v>
      </c>
      <c r="H2" s="17" t="s">
        <v>29</v>
      </c>
      <c r="I2" s="17" t="s">
        <v>3</v>
      </c>
      <c r="J2" s="17" t="s">
        <v>6</v>
      </c>
      <c r="K2" s="17" t="s">
        <v>7</v>
      </c>
      <c r="L2" s="17"/>
    </row>
    <row r="4" spans="1:12" x14ac:dyDescent="0.25">
      <c r="A4" t="s">
        <v>177</v>
      </c>
      <c r="B4" s="13">
        <v>45604</v>
      </c>
      <c r="C4" t="s">
        <v>178</v>
      </c>
      <c r="D4">
        <v>-6</v>
      </c>
      <c r="E4" t="s">
        <v>14</v>
      </c>
      <c r="F4">
        <v>3</v>
      </c>
      <c r="G4">
        <v>2</v>
      </c>
      <c r="H4">
        <v>7</v>
      </c>
      <c r="I4">
        <v>4</v>
      </c>
      <c r="J4">
        <f>42+54+23</f>
        <v>119</v>
      </c>
      <c r="K4">
        <f>29+45+42</f>
        <v>116</v>
      </c>
      <c r="L4" t="s">
        <v>21</v>
      </c>
    </row>
    <row r="5" spans="1:12" x14ac:dyDescent="0.25">
      <c r="A5" t="s">
        <v>177</v>
      </c>
      <c r="B5" s="13">
        <v>45604</v>
      </c>
      <c r="C5" t="s">
        <v>179</v>
      </c>
      <c r="D5">
        <v>4</v>
      </c>
      <c r="E5" t="s">
        <v>14</v>
      </c>
      <c r="F5">
        <v>3</v>
      </c>
      <c r="G5">
        <v>3</v>
      </c>
      <c r="H5">
        <v>6</v>
      </c>
      <c r="I5">
        <v>6</v>
      </c>
      <c r="J5">
        <f>42+42+42</f>
        <v>126</v>
      </c>
      <c r="K5">
        <f>29+35+27</f>
        <v>91</v>
      </c>
      <c r="L5" t="s">
        <v>21</v>
      </c>
    </row>
    <row r="6" spans="1:12" x14ac:dyDescent="0.25">
      <c r="A6" t="s">
        <v>177</v>
      </c>
      <c r="B6" s="13">
        <v>45604</v>
      </c>
      <c r="C6" t="s">
        <v>180</v>
      </c>
      <c r="D6">
        <v>6</v>
      </c>
      <c r="E6" t="s">
        <v>14</v>
      </c>
      <c r="F6">
        <v>3</v>
      </c>
      <c r="G6">
        <v>3</v>
      </c>
      <c r="H6">
        <v>7</v>
      </c>
      <c r="I6">
        <v>6</v>
      </c>
      <c r="J6">
        <f>42+54+42</f>
        <v>138</v>
      </c>
      <c r="K6">
        <f>36+45+27</f>
        <v>108</v>
      </c>
      <c r="L6" t="s">
        <v>21</v>
      </c>
    </row>
    <row r="7" spans="1:12" x14ac:dyDescent="0.25">
      <c r="A7" t="s">
        <v>177</v>
      </c>
      <c r="B7" s="13">
        <v>45604</v>
      </c>
      <c r="C7" t="s">
        <v>50</v>
      </c>
      <c r="D7">
        <v>8</v>
      </c>
      <c r="E7" t="s">
        <v>14</v>
      </c>
      <c r="F7">
        <v>3</v>
      </c>
      <c r="G7">
        <v>2</v>
      </c>
      <c r="H7">
        <v>6</v>
      </c>
      <c r="I7">
        <v>4</v>
      </c>
      <c r="J7">
        <f>42+42+23</f>
        <v>107</v>
      </c>
      <c r="K7">
        <f>36+35+42</f>
        <v>113</v>
      </c>
      <c r="L7" t="s">
        <v>21</v>
      </c>
    </row>
    <row r="8" spans="1:12" x14ac:dyDescent="0.25">
      <c r="A8" t="s">
        <v>177</v>
      </c>
      <c r="B8" s="13">
        <v>45604</v>
      </c>
      <c r="C8" t="s">
        <v>181</v>
      </c>
      <c r="D8">
        <v>-6</v>
      </c>
      <c r="E8" t="s">
        <v>21</v>
      </c>
      <c r="F8">
        <v>3</v>
      </c>
      <c r="G8">
        <v>1</v>
      </c>
      <c r="H8">
        <v>7</v>
      </c>
      <c r="I8">
        <v>3</v>
      </c>
      <c r="J8">
        <f>29+45+42</f>
        <v>116</v>
      </c>
      <c r="K8">
        <f>42+54+23</f>
        <v>119</v>
      </c>
      <c r="L8" t="s">
        <v>14</v>
      </c>
    </row>
    <row r="9" spans="1:12" x14ac:dyDescent="0.25">
      <c r="A9" t="s">
        <v>177</v>
      </c>
      <c r="B9" s="13">
        <v>45604</v>
      </c>
      <c r="C9" t="s">
        <v>182</v>
      </c>
      <c r="D9">
        <v>4</v>
      </c>
      <c r="E9" t="s">
        <v>21</v>
      </c>
      <c r="F9">
        <v>3</v>
      </c>
      <c r="G9">
        <v>0</v>
      </c>
      <c r="H9">
        <v>6</v>
      </c>
      <c r="I9">
        <v>0</v>
      </c>
      <c r="J9">
        <f>29+35+27</f>
        <v>91</v>
      </c>
      <c r="K9">
        <f>42+42+42</f>
        <v>126</v>
      </c>
      <c r="L9" t="s">
        <v>14</v>
      </c>
    </row>
    <row r="10" spans="1:12" x14ac:dyDescent="0.25">
      <c r="A10" t="s">
        <v>177</v>
      </c>
      <c r="B10" s="13">
        <v>45604</v>
      </c>
      <c r="C10" t="s">
        <v>62</v>
      </c>
      <c r="D10">
        <v>4</v>
      </c>
      <c r="E10" t="s">
        <v>21</v>
      </c>
      <c r="F10">
        <v>3</v>
      </c>
      <c r="G10">
        <v>0</v>
      </c>
      <c r="H10">
        <v>7</v>
      </c>
      <c r="I10">
        <v>1</v>
      </c>
      <c r="J10">
        <f>36+45+27</f>
        <v>108</v>
      </c>
      <c r="K10">
        <f>42+54+42</f>
        <v>138</v>
      </c>
      <c r="L10" t="s">
        <v>14</v>
      </c>
    </row>
    <row r="11" spans="1:12" x14ac:dyDescent="0.25">
      <c r="A11" t="s">
        <v>177</v>
      </c>
      <c r="B11" s="13">
        <v>45604</v>
      </c>
      <c r="C11" t="s">
        <v>183</v>
      </c>
      <c r="D11">
        <v>8</v>
      </c>
      <c r="E11" t="s">
        <v>21</v>
      </c>
      <c r="F11">
        <v>3</v>
      </c>
      <c r="G11">
        <v>1</v>
      </c>
      <c r="H11">
        <v>6</v>
      </c>
      <c r="I11">
        <v>2</v>
      </c>
      <c r="J11">
        <f>36+35+42</f>
        <v>113</v>
      </c>
      <c r="K11">
        <f>42+42+23</f>
        <v>107</v>
      </c>
      <c r="L11" t="s">
        <v>14</v>
      </c>
    </row>
    <row r="12" spans="1:12" x14ac:dyDescent="0.25">
      <c r="A12" t="s">
        <v>177</v>
      </c>
      <c r="B12" s="13">
        <v>45621</v>
      </c>
      <c r="C12" t="s">
        <v>145</v>
      </c>
      <c r="D12">
        <v>6</v>
      </c>
      <c r="E12" t="s">
        <v>13</v>
      </c>
      <c r="F12">
        <v>3</v>
      </c>
      <c r="G12">
        <v>3</v>
      </c>
      <c r="H12">
        <v>7</v>
      </c>
      <c r="I12">
        <v>6</v>
      </c>
      <c r="J12">
        <f>42+42+60</f>
        <v>144</v>
      </c>
      <c r="K12">
        <f>32+38+45</f>
        <v>115</v>
      </c>
      <c r="L12" t="s">
        <v>12</v>
      </c>
    </row>
    <row r="13" spans="1:12" x14ac:dyDescent="0.25">
      <c r="A13" t="s">
        <v>177</v>
      </c>
      <c r="B13" s="13">
        <v>45621</v>
      </c>
      <c r="C13" t="s">
        <v>39</v>
      </c>
      <c r="D13">
        <v>8</v>
      </c>
      <c r="E13" t="s">
        <v>13</v>
      </c>
      <c r="F13">
        <v>3</v>
      </c>
      <c r="G13">
        <v>3</v>
      </c>
      <c r="H13">
        <v>6</v>
      </c>
      <c r="I13">
        <v>6</v>
      </c>
      <c r="J13">
        <f>42+42+42</f>
        <v>126</v>
      </c>
      <c r="K13">
        <f>32+36+22</f>
        <v>90</v>
      </c>
      <c r="L13" t="s">
        <v>12</v>
      </c>
    </row>
    <row r="14" spans="1:12" x14ac:dyDescent="0.25">
      <c r="A14" t="s">
        <v>177</v>
      </c>
      <c r="B14" s="13">
        <v>45621</v>
      </c>
      <c r="C14" t="s">
        <v>40</v>
      </c>
      <c r="D14">
        <v>12</v>
      </c>
      <c r="E14" t="s">
        <v>13</v>
      </c>
      <c r="F14">
        <v>3</v>
      </c>
      <c r="G14">
        <v>3</v>
      </c>
      <c r="H14">
        <v>6</v>
      </c>
      <c r="I14">
        <v>6</v>
      </c>
      <c r="J14">
        <f>42+42+42</f>
        <v>126</v>
      </c>
      <c r="K14">
        <f>29+38+22</f>
        <v>89</v>
      </c>
      <c r="L14" t="s">
        <v>12</v>
      </c>
    </row>
    <row r="15" spans="1:12" x14ac:dyDescent="0.25">
      <c r="A15" t="s">
        <v>177</v>
      </c>
      <c r="B15" s="13">
        <v>45621</v>
      </c>
      <c r="C15" t="s">
        <v>187</v>
      </c>
      <c r="D15">
        <v>12</v>
      </c>
      <c r="E15" t="s">
        <v>13</v>
      </c>
      <c r="F15">
        <v>3</v>
      </c>
      <c r="G15">
        <v>3</v>
      </c>
      <c r="H15">
        <v>7</v>
      </c>
      <c r="I15">
        <v>6</v>
      </c>
      <c r="J15">
        <f>42+42+60</f>
        <v>144</v>
      </c>
      <c r="K15">
        <f>29+36+45</f>
        <v>110</v>
      </c>
      <c r="L15" t="s">
        <v>12</v>
      </c>
    </row>
    <row r="16" spans="1:12" x14ac:dyDescent="0.25">
      <c r="A16" t="s">
        <v>177</v>
      </c>
      <c r="B16" s="13">
        <v>45621</v>
      </c>
      <c r="C16" t="s">
        <v>188</v>
      </c>
      <c r="D16">
        <v>10</v>
      </c>
      <c r="E16" t="s">
        <v>12</v>
      </c>
      <c r="F16">
        <v>3</v>
      </c>
      <c r="G16">
        <v>0</v>
      </c>
      <c r="H16">
        <v>7</v>
      </c>
      <c r="I16">
        <v>1</v>
      </c>
      <c r="J16">
        <f>32+38+45</f>
        <v>115</v>
      </c>
      <c r="K16">
        <f>42+42+60</f>
        <v>144</v>
      </c>
      <c r="L16" t="s">
        <v>13</v>
      </c>
    </row>
    <row r="17" spans="1:12" x14ac:dyDescent="0.25">
      <c r="A17" t="s">
        <v>177</v>
      </c>
      <c r="B17" s="13">
        <v>45621</v>
      </c>
      <c r="C17" t="s">
        <v>132</v>
      </c>
      <c r="D17">
        <v>12</v>
      </c>
      <c r="E17" t="s">
        <v>12</v>
      </c>
      <c r="F17">
        <v>3</v>
      </c>
      <c r="G17">
        <v>0</v>
      </c>
      <c r="H17">
        <v>6</v>
      </c>
      <c r="I17">
        <v>0</v>
      </c>
      <c r="J17">
        <f>32+36+22</f>
        <v>90</v>
      </c>
      <c r="K17">
        <f>42+42+42</f>
        <v>126</v>
      </c>
      <c r="L17" t="s">
        <v>13</v>
      </c>
    </row>
    <row r="18" spans="1:12" x14ac:dyDescent="0.25">
      <c r="A18" t="s">
        <v>177</v>
      </c>
      <c r="B18" s="13">
        <v>45621</v>
      </c>
      <c r="C18" t="s">
        <v>189</v>
      </c>
      <c r="D18">
        <v>14</v>
      </c>
      <c r="E18" t="s">
        <v>12</v>
      </c>
      <c r="F18">
        <v>3</v>
      </c>
      <c r="G18">
        <v>0</v>
      </c>
      <c r="H18">
        <v>6</v>
      </c>
      <c r="I18">
        <v>0</v>
      </c>
      <c r="J18">
        <f>29+38+22</f>
        <v>89</v>
      </c>
      <c r="K18">
        <f>42+42+42</f>
        <v>126</v>
      </c>
      <c r="L18" t="s">
        <v>13</v>
      </c>
    </row>
    <row r="19" spans="1:12" x14ac:dyDescent="0.25">
      <c r="A19" t="s">
        <v>177</v>
      </c>
      <c r="B19" s="13">
        <v>45621</v>
      </c>
      <c r="C19" t="s">
        <v>190</v>
      </c>
      <c r="D19">
        <v>14</v>
      </c>
      <c r="E19" t="s">
        <v>12</v>
      </c>
      <c r="F19">
        <v>3</v>
      </c>
      <c r="G19">
        <v>0</v>
      </c>
      <c r="H19">
        <v>7</v>
      </c>
      <c r="I19">
        <v>1</v>
      </c>
      <c r="J19">
        <f>29+36+45</f>
        <v>110</v>
      </c>
      <c r="K19">
        <f>42+42+60</f>
        <v>144</v>
      </c>
      <c r="L19" t="s">
        <v>13</v>
      </c>
    </row>
    <row r="20" spans="1:12" x14ac:dyDescent="0.25">
      <c r="A20" t="s">
        <v>177</v>
      </c>
      <c r="B20" s="13">
        <v>45635</v>
      </c>
      <c r="C20" t="s">
        <v>39</v>
      </c>
      <c r="D20">
        <v>6</v>
      </c>
      <c r="E20" t="s">
        <v>13</v>
      </c>
      <c r="F20">
        <v>3</v>
      </c>
      <c r="G20">
        <v>3</v>
      </c>
      <c r="H20">
        <v>6</v>
      </c>
      <c r="I20">
        <v>6</v>
      </c>
      <c r="J20">
        <f>42+42+42</f>
        <v>126</v>
      </c>
      <c r="K20">
        <f>25+29+25</f>
        <v>79</v>
      </c>
      <c r="L20" t="s">
        <v>21</v>
      </c>
    </row>
    <row r="21" spans="1:12" x14ac:dyDescent="0.25">
      <c r="A21" t="s">
        <v>177</v>
      </c>
      <c r="B21" s="13">
        <v>45635</v>
      </c>
      <c r="C21" t="s">
        <v>198</v>
      </c>
      <c r="D21">
        <v>8</v>
      </c>
      <c r="E21" t="s">
        <v>13</v>
      </c>
      <c r="F21">
        <v>3</v>
      </c>
      <c r="G21">
        <v>2</v>
      </c>
      <c r="H21">
        <v>8</v>
      </c>
      <c r="I21">
        <v>5</v>
      </c>
      <c r="J21">
        <f>42+53+60</f>
        <v>155</v>
      </c>
      <c r="K21">
        <f>25+56+58</f>
        <v>139</v>
      </c>
      <c r="L21" t="s">
        <v>21</v>
      </c>
    </row>
    <row r="22" spans="1:12" x14ac:dyDescent="0.25">
      <c r="A22" t="s">
        <v>177</v>
      </c>
      <c r="B22" s="13">
        <v>45635</v>
      </c>
      <c r="C22" t="s">
        <v>187</v>
      </c>
      <c r="D22">
        <v>10</v>
      </c>
      <c r="E22" t="s">
        <v>13</v>
      </c>
      <c r="F22">
        <v>3</v>
      </c>
      <c r="G22">
        <v>2</v>
      </c>
      <c r="H22">
        <v>7</v>
      </c>
      <c r="I22">
        <v>4</v>
      </c>
      <c r="J22">
        <f>34+42+60</f>
        <v>136</v>
      </c>
      <c r="K22">
        <f>42+29+58</f>
        <v>129</v>
      </c>
      <c r="L22" t="s">
        <v>21</v>
      </c>
    </row>
    <row r="23" spans="1:12" x14ac:dyDescent="0.25">
      <c r="A23" t="s">
        <v>177</v>
      </c>
      <c r="B23" s="13">
        <v>45635</v>
      </c>
      <c r="C23" t="s">
        <v>40</v>
      </c>
      <c r="D23">
        <v>10</v>
      </c>
      <c r="E23" t="s">
        <v>13</v>
      </c>
      <c r="F23">
        <v>3</v>
      </c>
      <c r="G23">
        <v>1</v>
      </c>
      <c r="H23">
        <v>7</v>
      </c>
      <c r="I23">
        <v>3</v>
      </c>
      <c r="J23">
        <f>34+53+42</f>
        <v>129</v>
      </c>
      <c r="K23">
        <f>42+56+25</f>
        <v>123</v>
      </c>
      <c r="L23" t="s">
        <v>21</v>
      </c>
    </row>
    <row r="24" spans="1:12" x14ac:dyDescent="0.25">
      <c r="A24" t="s">
        <v>177</v>
      </c>
      <c r="B24" s="13">
        <v>45635</v>
      </c>
      <c r="C24" t="s">
        <v>199</v>
      </c>
      <c r="D24">
        <v>-2</v>
      </c>
      <c r="E24" t="s">
        <v>21</v>
      </c>
      <c r="F24">
        <v>3</v>
      </c>
      <c r="G24">
        <v>0</v>
      </c>
      <c r="H24">
        <v>6</v>
      </c>
      <c r="I24">
        <v>0</v>
      </c>
      <c r="J24">
        <f>25+29+25</f>
        <v>79</v>
      </c>
      <c r="K24">
        <f>42+42+42</f>
        <v>126</v>
      </c>
      <c r="L24" t="s">
        <v>13</v>
      </c>
    </row>
    <row r="25" spans="1:12" x14ac:dyDescent="0.25">
      <c r="A25" t="s">
        <v>177</v>
      </c>
      <c r="B25" s="13">
        <v>45635</v>
      </c>
      <c r="C25" t="s">
        <v>62</v>
      </c>
      <c r="D25">
        <v>2</v>
      </c>
      <c r="E25" t="s">
        <v>21</v>
      </c>
      <c r="F25">
        <v>3</v>
      </c>
      <c r="G25">
        <v>1</v>
      </c>
      <c r="H25">
        <v>8</v>
      </c>
      <c r="I25">
        <v>3</v>
      </c>
      <c r="J25">
        <f>25+56+58</f>
        <v>139</v>
      </c>
      <c r="K25">
        <f>42+53+60</f>
        <v>155</v>
      </c>
      <c r="L25" t="s">
        <v>13</v>
      </c>
    </row>
    <row r="26" spans="1:12" x14ac:dyDescent="0.25">
      <c r="A26" t="s">
        <v>177</v>
      </c>
      <c r="B26" s="13">
        <v>45635</v>
      </c>
      <c r="C26" t="s">
        <v>200</v>
      </c>
      <c r="D26">
        <v>6</v>
      </c>
      <c r="E26" t="s">
        <v>21</v>
      </c>
      <c r="F26">
        <v>3</v>
      </c>
      <c r="G26">
        <v>1</v>
      </c>
      <c r="H26">
        <v>7</v>
      </c>
      <c r="I26">
        <v>3</v>
      </c>
      <c r="J26">
        <f>42+29+58</f>
        <v>129</v>
      </c>
      <c r="K26">
        <f>34+42+60</f>
        <v>136</v>
      </c>
      <c r="L26" t="s">
        <v>13</v>
      </c>
    </row>
    <row r="27" spans="1:12" x14ac:dyDescent="0.25">
      <c r="A27" t="s">
        <v>177</v>
      </c>
      <c r="B27" s="13">
        <v>45635</v>
      </c>
      <c r="C27" t="s">
        <v>183</v>
      </c>
      <c r="D27">
        <v>8</v>
      </c>
      <c r="E27" t="s">
        <v>21</v>
      </c>
      <c r="F27">
        <v>3</v>
      </c>
      <c r="G27">
        <v>2</v>
      </c>
      <c r="H27">
        <v>7</v>
      </c>
      <c r="I27">
        <v>4</v>
      </c>
      <c r="J27">
        <f>42+56+25</f>
        <v>123</v>
      </c>
      <c r="K27">
        <f>34+53+42</f>
        <v>129</v>
      </c>
      <c r="L27" t="s">
        <v>13</v>
      </c>
    </row>
    <row r="32" spans="1:12" x14ac:dyDescent="0.25">
      <c r="A32" s="14" t="s">
        <v>44</v>
      </c>
      <c r="B32" s="14"/>
      <c r="C32" s="14"/>
      <c r="D32" s="14"/>
      <c r="E32" s="14"/>
      <c r="F32" s="14">
        <f>SUM(F2:F31)</f>
        <v>72</v>
      </c>
      <c r="G32" s="14">
        <f t="shared" ref="G32:K32" si="0">SUM(G2:G31)</f>
        <v>36</v>
      </c>
      <c r="H32" s="14">
        <f t="shared" si="0"/>
        <v>160</v>
      </c>
      <c r="I32" s="14">
        <f t="shared" si="0"/>
        <v>80</v>
      </c>
      <c r="J32" s="14">
        <f t="shared" si="0"/>
        <v>2878</v>
      </c>
      <c r="K32" s="14">
        <f t="shared" si="0"/>
        <v>2878</v>
      </c>
    </row>
    <row r="33" spans="7:11" x14ac:dyDescent="0.25">
      <c r="G33">
        <f>+F32/2-G32</f>
        <v>0</v>
      </c>
      <c r="I33">
        <f>+H32/2-I32</f>
        <v>0</v>
      </c>
      <c r="K33">
        <f>+J32-K32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Results</vt:lpstr>
      <vt:lpstr>Tables</vt:lpstr>
      <vt:lpstr>Combi 4s Performance</vt:lpstr>
      <vt:lpstr>Open 4s Performance</vt:lpstr>
      <vt:lpstr>Masters 4s Performance</vt:lpstr>
      <vt:lpstr>Ladies 4s Performance</vt:lpstr>
      <vt:lpstr>Tables!Print_Area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League Results &amp; Tables</dc:title>
  <dc:subject>League Results &amp; Tables</dc:subject>
  <dc:creator>Nigel</dc:creator>
  <cp:lastModifiedBy>Stuart Smith</cp:lastModifiedBy>
  <cp:lastPrinted>2024-11-18T17:48:22Z</cp:lastPrinted>
  <dcterms:created xsi:type="dcterms:W3CDTF">2017-03-16T09:42:02Z</dcterms:created>
  <dcterms:modified xsi:type="dcterms:W3CDTF">2024-12-16T12:41:34Z</dcterms:modified>
</cp:coreProperties>
</file>